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05" yWindow="-105" windowWidth="20730" windowHeight="11760" tabRatio="802" activeTab="1"/>
  </bookViews>
  <sheets>
    <sheet name="はじめに" sheetId="34" r:id="rId1"/>
    <sheet name="評価・判断" sheetId="35" r:id="rId2"/>
    <sheet name="⑥シミュレーション" sheetId="12" r:id="rId3"/>
    <sheet name="⑦資金繰り表" sheetId="33" r:id="rId4"/>
    <sheet name="①売上の積算" sheetId="25" r:id="rId5"/>
    <sheet name="②経費の積算" sheetId="21" r:id="rId6"/>
    <sheet name="③調達品" sheetId="20" r:id="rId7"/>
    <sheet name="④減価償却" sheetId="19" r:id="rId8"/>
    <sheet name="⑤借入金" sheetId="30" r:id="rId9"/>
  </sheets>
  <definedNames>
    <definedName name="_?__D_" localSheetId="4">#REF!</definedName>
    <definedName name="_?__D_" localSheetId="5">#REF!</definedName>
    <definedName name="_?__D_" localSheetId="6">#REF!</definedName>
    <definedName name="_?__D_" localSheetId="7">#REF!</definedName>
    <definedName name="_?__D_" localSheetId="3">#REF!</definedName>
    <definedName name="_?__D_">#REF!</definedName>
    <definedName name="_?__PPCRRA10..N" localSheetId="4">#REF!</definedName>
    <definedName name="_?__PPCRRA10..N" localSheetId="5">#REF!</definedName>
    <definedName name="_?__PPCRRA10..N" localSheetId="6">#REF!</definedName>
    <definedName name="_?__PPCRRA10..N" localSheetId="7">#REF!</definedName>
    <definedName name="_?__PPCRRA10..N" localSheetId="3">#REF!</definedName>
    <definedName name="_?__PPCRRA10..N">#REF!</definedName>
    <definedName name="_?__R_" localSheetId="4">#REF!</definedName>
    <definedName name="_?__R_" localSheetId="5">#REF!</definedName>
    <definedName name="_?__R_" localSheetId="6">#REF!</definedName>
    <definedName name="_?__R_" localSheetId="7">#REF!</definedName>
    <definedName name="_?__R_" localSheetId="3">#REF!</definedName>
    <definedName name="_?__R_">#REF!</definedName>
    <definedName name="_BRANCH_\D_" localSheetId="4">#REF!</definedName>
    <definedName name="_BRANCH_\D_" localSheetId="5">#REF!</definedName>
    <definedName name="_BRANCH_\D_" localSheetId="6">#REF!</definedName>
    <definedName name="_BRANCH_\D_" localSheetId="7">#REF!</definedName>
    <definedName name="_BRANCH_\D_" localSheetId="3">#REF!</definedName>
    <definedName name="_BRANCH_\D_">#REF!</definedName>
    <definedName name="_BRANCH_\R_" localSheetId="4">#REF!</definedName>
    <definedName name="_BRANCH_\R_" localSheetId="5">#REF!</definedName>
    <definedName name="_BRANCH_\R_" localSheetId="6">#REF!</definedName>
    <definedName name="_BRANCH_\R_" localSheetId="7">#REF!</definedName>
    <definedName name="_BRANCH_\R_" localSheetId="3">#REF!</definedName>
    <definedName name="_BRANCH_\R_">#REF!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3" hidden="1">#REF!</definedName>
    <definedName name="_Fill" hidden="1">#REF!</definedName>
    <definedName name="_PPCRRAK186..AU" localSheetId="4">#REF!</definedName>
    <definedName name="_PPCRRAK186..AU" localSheetId="5">#REF!</definedName>
    <definedName name="_PPCRRAK186..AU" localSheetId="6">#REF!</definedName>
    <definedName name="_PPCRRAK186..AU" localSheetId="7">#REF!</definedName>
    <definedName name="_PPCRRAK186..AU" localSheetId="3">#REF!</definedName>
    <definedName name="_PPCRRAK186..AU">#REF!</definedName>
    <definedName name="_PPCRRAW205..BL" localSheetId="4">#REF!</definedName>
    <definedName name="_PPCRRAW205..BL" localSheetId="5">#REF!</definedName>
    <definedName name="_PPCRRAW205..BL" localSheetId="6">#REF!</definedName>
    <definedName name="_PPCRRAW205..BL" localSheetId="7">#REF!</definedName>
    <definedName name="_PPCRRAW205..BL" localSheetId="3">#REF!</definedName>
    <definedName name="_PPCRRAW205..BL">#REF!</definedName>
    <definedName name="_PPCRRBO230..CD" localSheetId="4">#REF!</definedName>
    <definedName name="_PPCRRBO230..CD" localSheetId="5">#REF!</definedName>
    <definedName name="_PPCRRBO230..CD" localSheetId="6">#REF!</definedName>
    <definedName name="_PPCRRBO230..CD" localSheetId="7">#REF!</definedName>
    <definedName name="_PPCRRBO230..CD" localSheetId="3">#REF!</definedName>
    <definedName name="_PPCRRBO230..CD">#REF!</definedName>
    <definedName name="_PPCRRCF262..CY" localSheetId="4">#REF!</definedName>
    <definedName name="_PPCRRCF262..CY" localSheetId="5">#REF!</definedName>
    <definedName name="_PPCRRCF262..CY" localSheetId="6">#REF!</definedName>
    <definedName name="_PPCRRCF262..CY" localSheetId="7">#REF!</definedName>
    <definedName name="_PPCRRCF262..CY" localSheetId="3">#REF!</definedName>
    <definedName name="_PPCRRCF262..CY">#REF!</definedName>
    <definedName name="_PPCRRCZ316..DP" localSheetId="4">#REF!</definedName>
    <definedName name="_PPCRRCZ316..DP" localSheetId="5">#REF!</definedName>
    <definedName name="_PPCRRCZ316..DP" localSheetId="6">#REF!</definedName>
    <definedName name="_PPCRRCZ316..DP" localSheetId="7">#REF!</definedName>
    <definedName name="_PPCRRCZ316..DP" localSheetId="3">#REF!</definedName>
    <definedName name="_PPCRRCZ316..DP">#REF!</definedName>
    <definedName name="_PPCRRDQ389..EG" localSheetId="4">#REF!</definedName>
    <definedName name="_PPCRRDQ389..EG" localSheetId="5">#REF!</definedName>
    <definedName name="_PPCRRDQ389..EG" localSheetId="6">#REF!</definedName>
    <definedName name="_PPCRRDQ389..EG" localSheetId="7">#REF!</definedName>
    <definedName name="_PPCRRDQ389..EG" localSheetId="3">#REF!</definedName>
    <definedName name="_PPCRRDQ389..EG">#REF!</definedName>
    <definedName name="_PPCRREH466..EP" localSheetId="4">#REF!</definedName>
    <definedName name="_PPCRREH466..EP" localSheetId="5">#REF!</definedName>
    <definedName name="_PPCRREH466..EP" localSheetId="6">#REF!</definedName>
    <definedName name="_PPCRREH466..EP" localSheetId="7">#REF!</definedName>
    <definedName name="_PPCRREH466..EP" localSheetId="3">#REF!</definedName>
    <definedName name="_PPCRREH466..EP">#REF!</definedName>
    <definedName name="_PPCRREW541..FK" localSheetId="4">#REF!</definedName>
    <definedName name="_PPCRREW541..FK" localSheetId="5">#REF!</definedName>
    <definedName name="_PPCRREW541..FK" localSheetId="6">#REF!</definedName>
    <definedName name="_PPCRREW541..FK" localSheetId="7">#REF!</definedName>
    <definedName name="_PPCRREW541..FK" localSheetId="3">#REF!</definedName>
    <definedName name="_PPCRREW541..FK">#REF!</definedName>
    <definedName name="_PPCRRFL581..FZ" localSheetId="4">#REF!</definedName>
    <definedName name="_PPCRRFL581..FZ" localSheetId="5">#REF!</definedName>
    <definedName name="_PPCRRFL581..FZ" localSheetId="6">#REF!</definedName>
    <definedName name="_PPCRRFL581..FZ" localSheetId="7">#REF!</definedName>
    <definedName name="_PPCRRFL581..FZ" localSheetId="3">#REF!</definedName>
    <definedName name="_PPCRRFL581..FZ">#REF!</definedName>
    <definedName name="_PPCRRGA615..GO" localSheetId="4">#REF!</definedName>
    <definedName name="_PPCRRGA615..GO" localSheetId="5">#REF!</definedName>
    <definedName name="_PPCRRGA615..GO" localSheetId="6">#REF!</definedName>
    <definedName name="_PPCRRGA615..GO" localSheetId="7">#REF!</definedName>
    <definedName name="_PPCRRGA615..GO" localSheetId="3">#REF!</definedName>
    <definedName name="_PPCRRGA615..GO">#REF!</definedName>
    <definedName name="_PPCRRO70..T106" localSheetId="4">#REF!</definedName>
    <definedName name="_PPCRRO70..T106" localSheetId="5">#REF!</definedName>
    <definedName name="_PPCRRO70..T106" localSheetId="6">#REF!</definedName>
    <definedName name="_PPCRRO70..T106" localSheetId="7">#REF!</definedName>
    <definedName name="_PPCRRO70..T106" localSheetId="3">#REF!</definedName>
    <definedName name="_PPCRRO70..T106">#REF!</definedName>
    <definedName name="_PPCRRU103..AH1" localSheetId="4">#REF!</definedName>
    <definedName name="_PPCRRU103..AH1" localSheetId="5">#REF!</definedName>
    <definedName name="_PPCRRU103..AH1" localSheetId="6">#REF!</definedName>
    <definedName name="_PPCRRU103..AH1" localSheetId="7">#REF!</definedName>
    <definedName name="_PPCRRU103..AH1" localSheetId="3">#REF!</definedName>
    <definedName name="_PPCRRU103..AH1">#REF!</definedName>
    <definedName name="_PPCRRU103..AI1" localSheetId="4">#REF!</definedName>
    <definedName name="_PPCRRU103..AI1" localSheetId="5">#REF!</definedName>
    <definedName name="_PPCRRU103..AI1" localSheetId="6">#REF!</definedName>
    <definedName name="_PPCRRU103..AI1" localSheetId="7">#REF!</definedName>
    <definedName name="_PPCRRU103..AI1" localSheetId="3">#REF!</definedName>
    <definedName name="_PPCRRU103..AI1">#REF!</definedName>
    <definedName name="_QUIT_" localSheetId="4">#REF!</definedName>
    <definedName name="_QUIT_" localSheetId="5">#REF!</definedName>
    <definedName name="_QUIT_" localSheetId="6">#REF!</definedName>
    <definedName name="_QUIT_" localSheetId="7">#REF!</definedName>
    <definedName name="_QUIT_" localSheetId="3">#REF!</definedName>
    <definedName name="_QUIT_">#REF!</definedName>
    <definedName name="_Regression_Int" localSheetId="8" hidden="1">1</definedName>
    <definedName name="\d" localSheetId="4">#REF!</definedName>
    <definedName name="\d" localSheetId="5">#REF!</definedName>
    <definedName name="\d" localSheetId="6">#REF!</definedName>
    <definedName name="\d" localSheetId="7">#REF!</definedName>
    <definedName name="\d" localSheetId="3">#REF!</definedName>
    <definedName name="\d">#REF!</definedName>
    <definedName name="\p" localSheetId="4">#REF!</definedName>
    <definedName name="\p" localSheetId="5">#REF!</definedName>
    <definedName name="\p" localSheetId="6">#REF!</definedName>
    <definedName name="\p" localSheetId="7">#REF!</definedName>
    <definedName name="\p" localSheetId="3">#REF!</definedName>
    <definedName name="\p">#REF!</definedName>
    <definedName name="\q" localSheetId="4">#REF!</definedName>
    <definedName name="\q" localSheetId="5">#REF!</definedName>
    <definedName name="\q" localSheetId="6">#REF!</definedName>
    <definedName name="\q" localSheetId="7">#REF!</definedName>
    <definedName name="\q" localSheetId="3">#REF!</definedName>
    <definedName name="\q">#REF!</definedName>
    <definedName name="\r" localSheetId="4">#REF!</definedName>
    <definedName name="\r" localSheetId="5">#REF!</definedName>
    <definedName name="\r" localSheetId="6">#REF!</definedName>
    <definedName name="\r" localSheetId="7">#REF!</definedName>
    <definedName name="\r" localSheetId="3">#REF!</definedName>
    <definedName name="\r">#REF!</definedName>
    <definedName name="_xlnm.Print_Area" localSheetId="8">⑤借入金!$A$1:$AV$125</definedName>
    <definedName name="_xlnm.Print_Area" localSheetId="2">⑥シミュレーション!$A$1:$O$122</definedName>
    <definedName name="_xlnm.Print_Area" localSheetId="3">⑦資金繰り表!$A$1:$S$104</definedName>
    <definedName name="Print_Area_MI" localSheetId="8">⑤借入金!$A$89:$G$125</definedName>
    <definedName name="_xlnm.Print_Titles" localSheetId="4">①売上の積算!$2:$3</definedName>
    <definedName name="_xlnm.Print_Titles" localSheetId="8">⑤借入金!$1:$4</definedName>
    <definedName name="Print_Titles_MI" localSheetId="8">⑤借入金!$1:$4</definedName>
    <definedName name="ttttt" localSheetId="3">#REF!</definedName>
    <definedName name="ttttt">#REF!</definedName>
    <definedName name="すすすす">#REF!</definedName>
    <definedName name="すすすすすすすす">#REF!</definedName>
    <definedName name="売上高増加率" localSheetId="4">#REF!</definedName>
    <definedName name="売上高増加率" localSheetId="5">#REF!</definedName>
    <definedName name="売上高増加率" localSheetId="6">#REF!</definedName>
    <definedName name="売上高増加率" localSheetId="7">#REF!</definedName>
    <definedName name="売上高増加率" localSheetId="3">#REF!</definedName>
    <definedName name="売上高増加率">#REF!</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2" i="25" l="1"/>
  <c r="D51" i="25"/>
  <c r="D50" i="25"/>
  <c r="D61" i="25"/>
  <c r="D60" i="25" s="1"/>
  <c r="D59" i="25" l="1"/>
  <c r="D103" i="20"/>
  <c r="Q3" i="30"/>
  <c r="Q2" i="30"/>
  <c r="O3" i="30"/>
  <c r="O2" i="30"/>
  <c r="K38" i="12"/>
  <c r="L38" i="12"/>
  <c r="M38" i="12"/>
  <c r="N38" i="12"/>
  <c r="J38" i="12"/>
  <c r="H112" i="20"/>
  <c r="H113" i="20"/>
  <c r="H114" i="20"/>
  <c r="E62" i="12"/>
  <c r="F62" i="12" s="1"/>
  <c r="G62" i="12" s="1"/>
  <c r="H62" i="12" s="1"/>
  <c r="I62" i="12" s="1"/>
  <c r="J62" i="12" s="1"/>
  <c r="K62" i="12" s="1"/>
  <c r="L62" i="12" s="1"/>
  <c r="M62" i="12" s="1"/>
  <c r="N62" i="12" s="1"/>
  <c r="C26" i="21" l="1"/>
  <c r="H15" i="25"/>
  <c r="P15" i="25" s="1"/>
  <c r="J15" i="25"/>
  <c r="H16" i="25"/>
  <c r="K16" i="25" s="1"/>
  <c r="L16" i="25" s="1"/>
  <c r="J16" i="25"/>
  <c r="H17" i="25"/>
  <c r="T17" i="25" s="1"/>
  <c r="J17" i="25"/>
  <c r="H18" i="25"/>
  <c r="K18" i="25" s="1"/>
  <c r="L18" i="25" s="1"/>
  <c r="N18" i="25" s="1"/>
  <c r="J18" i="25"/>
  <c r="H19" i="25"/>
  <c r="V19" i="25" s="1"/>
  <c r="J19" i="25"/>
  <c r="B31" i="21"/>
  <c r="B30" i="21"/>
  <c r="B29" i="21"/>
  <c r="B28" i="21"/>
  <c r="B27" i="21"/>
  <c r="H11" i="25"/>
  <c r="V11" i="25" s="1"/>
  <c r="H12" i="25"/>
  <c r="T12" i="25" s="1"/>
  <c r="H13" i="25"/>
  <c r="K13" i="25" s="1"/>
  <c r="H14" i="25"/>
  <c r="K14" i="25" s="1"/>
  <c r="H20" i="25"/>
  <c r="X20" i="25" s="1"/>
  <c r="H21" i="25"/>
  <c r="K21" i="25" s="1"/>
  <c r="L21" i="25" s="1"/>
  <c r="H22" i="25"/>
  <c r="V22" i="25" s="1"/>
  <c r="H23" i="25"/>
  <c r="T23" i="25" s="1"/>
  <c r="H24" i="25"/>
  <c r="K24" i="25" s="1"/>
  <c r="H25" i="25"/>
  <c r="T25" i="25" s="1"/>
  <c r="H26" i="25"/>
  <c r="P26" i="25" s="1"/>
  <c r="H27" i="25"/>
  <c r="V27" i="25" s="1"/>
  <c r="H28" i="25"/>
  <c r="V28" i="25" s="1"/>
  <c r="H29" i="25"/>
  <c r="P29" i="25" s="1"/>
  <c r="H4" i="25"/>
  <c r="T4" i="25" s="1"/>
  <c r="H5" i="25"/>
  <c r="P5" i="25" s="1"/>
  <c r="H6" i="25"/>
  <c r="K6" i="25" s="1"/>
  <c r="H7" i="25"/>
  <c r="X7" i="25" s="1"/>
  <c r="H8" i="25"/>
  <c r="K8" i="25" s="1"/>
  <c r="L8" i="25" s="1"/>
  <c r="H9" i="25"/>
  <c r="X9" i="25" s="1"/>
  <c r="H10" i="25"/>
  <c r="X10" i="25" s="1"/>
  <c r="J5" i="25"/>
  <c r="J7" i="25"/>
  <c r="J9" i="25"/>
  <c r="J10" i="25"/>
  <c r="J14" i="25"/>
  <c r="J20" i="25"/>
  <c r="J21" i="25"/>
  <c r="J22" i="25"/>
  <c r="J23" i="25"/>
  <c r="J24" i="25"/>
  <c r="J25" i="25"/>
  <c r="J26" i="25"/>
  <c r="J27" i="25"/>
  <c r="J28" i="25"/>
  <c r="J29" i="25"/>
  <c r="P28" i="25" l="1"/>
  <c r="X24" i="25"/>
  <c r="J13" i="25"/>
  <c r="X16" i="25"/>
  <c r="V24" i="25"/>
  <c r="P20" i="25"/>
  <c r="K10" i="25"/>
  <c r="L10" i="25" s="1"/>
  <c r="N10" i="25" s="1"/>
  <c r="T7" i="25"/>
  <c r="J11" i="25"/>
  <c r="P27" i="25"/>
  <c r="R27" i="25"/>
  <c r="K23" i="25"/>
  <c r="L23" i="25" s="1"/>
  <c r="N23" i="25" s="1"/>
  <c r="X18" i="25"/>
  <c r="R17" i="25"/>
  <c r="T28" i="25"/>
  <c r="X29" i="25"/>
  <c r="K25" i="25"/>
  <c r="L25" i="25" s="1"/>
  <c r="N25" i="25" s="1"/>
  <c r="R24" i="25"/>
  <c r="P18" i="25"/>
  <c r="P17" i="25"/>
  <c r="X21" i="25"/>
  <c r="P21" i="25"/>
  <c r="T24" i="25"/>
  <c r="X28" i="25"/>
  <c r="R20" i="25"/>
  <c r="T6" i="25"/>
  <c r="X6" i="25"/>
  <c r="J6" i="25"/>
  <c r="R18" i="25"/>
  <c r="V18" i="25"/>
  <c r="X17" i="25"/>
  <c r="K17" i="25"/>
  <c r="L17" i="25" s="1"/>
  <c r="N17" i="25" s="1"/>
  <c r="V16" i="25"/>
  <c r="V15" i="25"/>
  <c r="L24" i="25"/>
  <c r="N24" i="25" s="1"/>
  <c r="V21" i="25"/>
  <c r="T21" i="25"/>
  <c r="P7" i="25"/>
  <c r="V29" i="25"/>
  <c r="V10" i="25"/>
  <c r="K29" i="25"/>
  <c r="P25" i="25"/>
  <c r="P6" i="25"/>
  <c r="T20" i="25"/>
  <c r="V25" i="25"/>
  <c r="V6" i="25"/>
  <c r="X23" i="25"/>
  <c r="K28" i="25"/>
  <c r="K20" i="25"/>
  <c r="L20" i="25" s="1"/>
  <c r="N20" i="25" s="1"/>
  <c r="R28" i="25"/>
  <c r="T29" i="25"/>
  <c r="T18" i="25"/>
  <c r="V17" i="25"/>
  <c r="P16" i="25"/>
  <c r="J12" i="25"/>
  <c r="N21" i="25"/>
  <c r="N16" i="25"/>
  <c r="P12" i="25"/>
  <c r="V12" i="25"/>
  <c r="X12" i="25"/>
  <c r="T19" i="25"/>
  <c r="T15" i="25"/>
  <c r="R19" i="25"/>
  <c r="K19" i="25"/>
  <c r="T16" i="25"/>
  <c r="R15" i="25"/>
  <c r="K15" i="25"/>
  <c r="X19" i="25"/>
  <c r="P19" i="25"/>
  <c r="R16" i="25"/>
  <c r="X15" i="25"/>
  <c r="P11" i="25"/>
  <c r="X11" i="25"/>
  <c r="R11" i="25"/>
  <c r="K11" i="25"/>
  <c r="T11" i="25"/>
  <c r="V26" i="25"/>
  <c r="P24" i="25"/>
  <c r="R6" i="25"/>
  <c r="V20" i="25"/>
  <c r="V7" i="25"/>
  <c r="X25" i="25"/>
  <c r="K12" i="25"/>
  <c r="X5" i="25"/>
  <c r="K5" i="25"/>
  <c r="J8" i="25"/>
  <c r="R23" i="25"/>
  <c r="T27" i="25"/>
  <c r="T14" i="25"/>
  <c r="V14" i="25"/>
  <c r="X27" i="25"/>
  <c r="K27" i="25"/>
  <c r="P14" i="25"/>
  <c r="R14" i="25"/>
  <c r="V23" i="25"/>
  <c r="P23" i="25"/>
  <c r="X14" i="25"/>
  <c r="R7" i="25"/>
  <c r="R10" i="25"/>
  <c r="P10" i="25"/>
  <c r="T10" i="25"/>
  <c r="X26" i="25"/>
  <c r="X22" i="25"/>
  <c r="K26" i="25"/>
  <c r="K22" i="25"/>
  <c r="P22" i="25"/>
  <c r="K7" i="25"/>
  <c r="T8" i="25"/>
  <c r="V8" i="25"/>
  <c r="P8" i="25"/>
  <c r="X8" i="25"/>
  <c r="X4" i="25"/>
  <c r="R4" i="25"/>
  <c r="V4" i="25"/>
  <c r="P4" i="25"/>
  <c r="V5" i="25"/>
  <c r="K9" i="25"/>
  <c r="L9" i="25" s="1"/>
  <c r="P9" i="25"/>
  <c r="V9" i="25"/>
  <c r="R26" i="25"/>
  <c r="R22" i="25"/>
  <c r="R13" i="25"/>
  <c r="R9" i="25"/>
  <c r="R5" i="25"/>
  <c r="R29" i="25"/>
  <c r="R25" i="25"/>
  <c r="R21" i="25"/>
  <c r="R12" i="25"/>
  <c r="R8" i="25"/>
  <c r="T26" i="25"/>
  <c r="T22" i="25"/>
  <c r="T13" i="25"/>
  <c r="T9" i="25"/>
  <c r="T5" i="25"/>
  <c r="V13" i="25"/>
  <c r="P13" i="25"/>
  <c r="X13" i="25"/>
  <c r="C4" i="21"/>
  <c r="C5" i="21"/>
  <c r="C6" i="21"/>
  <c r="C7" i="21"/>
  <c r="C8" i="21"/>
  <c r="C9" i="21"/>
  <c r="C10" i="21"/>
  <c r="C11" i="21"/>
  <c r="C12" i="21"/>
  <c r="C13" i="21"/>
  <c r="C14" i="21"/>
  <c r="C15" i="21"/>
  <c r="C16" i="21"/>
  <c r="C17" i="21"/>
  <c r="C18" i="21"/>
  <c r="C19" i="21"/>
  <c r="C20" i="21"/>
  <c r="C21" i="21"/>
  <c r="C22" i="21"/>
  <c r="C23" i="21"/>
  <c r="C24" i="21"/>
  <c r="C25" i="21"/>
  <c r="C32" i="21"/>
  <c r="Y26" i="25" l="1"/>
  <c r="Y28" i="25"/>
  <c r="Y20" i="25"/>
  <c r="Y16" i="25"/>
  <c r="Y21" i="25"/>
  <c r="Y17" i="25"/>
  <c r="Y7" i="25"/>
  <c r="Y14" i="25"/>
  <c r="Y24" i="25"/>
  <c r="Y6" i="25"/>
  <c r="Y25" i="25"/>
  <c r="L7" i="25"/>
  <c r="N7" i="25" s="1"/>
  <c r="L26" i="25"/>
  <c r="N26" i="25" s="1"/>
  <c r="L5" i="25"/>
  <c r="N5" i="25" s="1"/>
  <c r="Y29" i="25"/>
  <c r="Y10" i="25"/>
  <c r="Y23" i="25"/>
  <c r="L27" i="25"/>
  <c r="N27" i="25" s="1"/>
  <c r="Y27" i="25"/>
  <c r="L19" i="25"/>
  <c r="N19" i="25" s="1"/>
  <c r="Y18" i="25"/>
  <c r="L22" i="25"/>
  <c r="N22" i="25" s="1"/>
  <c r="L15" i="25"/>
  <c r="N15" i="25" s="1"/>
  <c r="Y15" i="25"/>
  <c r="Y12" i="25"/>
  <c r="Y11" i="25"/>
  <c r="Y19" i="25"/>
  <c r="T30" i="25"/>
  <c r="D29" i="21" s="1"/>
  <c r="C29" i="21" s="1"/>
  <c r="R30" i="25"/>
  <c r="D28" i="21" s="1"/>
  <c r="C28" i="21" s="1"/>
  <c r="X30" i="25"/>
  <c r="D31" i="21" s="1"/>
  <c r="C31" i="21" s="1"/>
  <c r="P30" i="25"/>
  <c r="D27" i="21" s="1"/>
  <c r="C27" i="21" s="1"/>
  <c r="V30" i="25"/>
  <c r="D30" i="21" s="1"/>
  <c r="C30" i="21" s="1"/>
  <c r="Y4" i="25"/>
  <c r="Y22" i="25"/>
  <c r="Y8" i="25"/>
  <c r="Y9" i="25"/>
  <c r="Y13" i="25"/>
  <c r="Y5" i="25"/>
  <c r="F2" i="30"/>
  <c r="D3" i="30"/>
  <c r="D2" i="30"/>
  <c r="M3" i="35"/>
  <c r="Y30" i="25" l="1"/>
  <c r="E4" i="12"/>
  <c r="Q3" i="33"/>
  <c r="B86" i="12"/>
  <c r="B75" i="12"/>
  <c r="AL13" i="30"/>
  <c r="AL14" i="30"/>
  <c r="AL15" i="30"/>
  <c r="AL16" i="30"/>
  <c r="AL17" i="30"/>
  <c r="AL18" i="30"/>
  <c r="AL19" i="30"/>
  <c r="AL20" i="30"/>
  <c r="AL21" i="30"/>
  <c r="AL22" i="30"/>
  <c r="AL23" i="30"/>
  <c r="AL24" i="30"/>
  <c r="G5" i="30" l="1"/>
  <c r="H44" i="20"/>
  <c r="H45" i="20"/>
  <c r="H46" i="20"/>
  <c r="H47" i="20"/>
  <c r="H48" i="20"/>
  <c r="H49" i="20"/>
  <c r="H50" i="20"/>
  <c r="H51" i="20"/>
  <c r="H52" i="20"/>
  <c r="H53" i="20"/>
  <c r="H54" i="20"/>
  <c r="H55" i="20"/>
  <c r="H56" i="20"/>
  <c r="H6" i="20"/>
  <c r="H7" i="20"/>
  <c r="H10" i="20"/>
  <c r="H11" i="20"/>
  <c r="H12" i="20"/>
  <c r="H13" i="20"/>
  <c r="H9" i="20"/>
  <c r="F35" i="33"/>
  <c r="G35" i="33"/>
  <c r="H35" i="33"/>
  <c r="I35" i="33"/>
  <c r="J35" i="33"/>
  <c r="K35" i="33"/>
  <c r="L35" i="33"/>
  <c r="M35" i="33"/>
  <c r="N35" i="33"/>
  <c r="O35" i="33"/>
  <c r="P18" i="33"/>
  <c r="P19" i="33"/>
  <c r="P21" i="33"/>
  <c r="P36" i="33"/>
  <c r="P40" i="33"/>
  <c r="P3" i="33"/>
  <c r="D23" i="33"/>
  <c r="E35" i="33"/>
  <c r="B10" i="33"/>
  <c r="C86" i="12" s="1"/>
  <c r="D7" i="33"/>
  <c r="D17" i="33" s="1"/>
  <c r="B6" i="33"/>
  <c r="C75" i="12" s="1"/>
  <c r="E2" i="33"/>
  <c r="F2" i="33" l="1"/>
  <c r="G2" i="33" l="1"/>
  <c r="H2" i="33" l="1"/>
  <c r="I2" i="33" l="1"/>
  <c r="J2" i="33" l="1"/>
  <c r="K2" i="33" l="1"/>
  <c r="L2" i="33" l="1"/>
  <c r="M2" i="33" l="1"/>
  <c r="N2" i="33" l="1"/>
  <c r="O2" i="33" l="1"/>
  <c r="F81" i="12"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4" i="20"/>
  <c r="C5" i="20"/>
  <c r="C6" i="20"/>
  <c r="C7" i="20"/>
  <c r="C8" i="20"/>
  <c r="C3" i="20"/>
  <c r="H4" i="20"/>
  <c r="H5" i="20"/>
  <c r="H79" i="20"/>
  <c r="H78" i="20"/>
  <c r="H77" i="20"/>
  <c r="H76" i="20"/>
  <c r="H75" i="20"/>
  <c r="H74" i="20"/>
  <c r="H73" i="20"/>
  <c r="H72" i="20"/>
  <c r="H71" i="20"/>
  <c r="H70" i="20"/>
  <c r="H69" i="20"/>
  <c r="H68" i="20"/>
  <c r="H67" i="20"/>
  <c r="H66" i="20"/>
  <c r="H65" i="20"/>
  <c r="H64" i="20"/>
  <c r="H63" i="20"/>
  <c r="H62" i="20"/>
  <c r="H61" i="20"/>
  <c r="H60" i="20"/>
  <c r="H59" i="20"/>
  <c r="H58" i="20"/>
  <c r="H57"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93" i="20"/>
  <c r="H92" i="20"/>
  <c r="H90" i="20"/>
  <c r="H89" i="20"/>
  <c r="H88" i="20"/>
  <c r="H87" i="20"/>
  <c r="H86" i="20"/>
  <c r="H85" i="20"/>
  <c r="H84" i="20"/>
  <c r="H83" i="20"/>
  <c r="H82" i="20"/>
  <c r="H81" i="20"/>
  <c r="H80" i="20"/>
  <c r="J4" i="25" l="1"/>
  <c r="K4" i="25" l="1"/>
  <c r="K30" i="25" s="1"/>
  <c r="L29" i="25" l="1"/>
  <c r="N29" i="25" s="1"/>
  <c r="L28" i="25"/>
  <c r="N28" i="25" s="1"/>
  <c r="L12" i="25"/>
  <c r="L6" i="25"/>
  <c r="L13" i="25"/>
  <c r="L14" i="25"/>
  <c r="L11" i="25"/>
  <c r="K33" i="25"/>
  <c r="C35" i="21"/>
  <c r="C36" i="21"/>
  <c r="C37" i="21"/>
  <c r="C34" i="21"/>
  <c r="D38" i="21"/>
  <c r="F37" i="12" s="1"/>
  <c r="C3" i="21"/>
  <c r="AN4" i="30"/>
  <c r="AO4" i="30" s="1"/>
  <c r="AP4" i="30" s="1"/>
  <c r="AQ4" i="30" s="1"/>
  <c r="AR4" i="30" s="1"/>
  <c r="AS4" i="30" s="1"/>
  <c r="AT4" i="30" s="1"/>
  <c r="AU4" i="30" s="1"/>
  <c r="AV4" i="30" s="1"/>
  <c r="R5" i="30"/>
  <c r="AC5" i="30" s="1"/>
  <c r="E20" i="19"/>
  <c r="X124" i="30"/>
  <c r="X123" i="30"/>
  <c r="X122" i="30"/>
  <c r="X121" i="30"/>
  <c r="X120" i="30"/>
  <c r="X119" i="30"/>
  <c r="X118" i="30"/>
  <c r="X117" i="30"/>
  <c r="X116" i="30"/>
  <c r="X115" i="30"/>
  <c r="X114" i="30"/>
  <c r="X113" i="30"/>
  <c r="X112" i="30"/>
  <c r="X111" i="30"/>
  <c r="X110" i="30"/>
  <c r="X109" i="30"/>
  <c r="X108" i="30"/>
  <c r="X107" i="30"/>
  <c r="X106" i="30"/>
  <c r="X105" i="30"/>
  <c r="X104" i="30"/>
  <c r="X103" i="30"/>
  <c r="X102" i="30"/>
  <c r="X101" i="30"/>
  <c r="X100" i="30"/>
  <c r="X99" i="30"/>
  <c r="X98" i="30"/>
  <c r="X97" i="30"/>
  <c r="X96" i="30"/>
  <c r="X95" i="30"/>
  <c r="X94" i="30"/>
  <c r="X93" i="30"/>
  <c r="X92" i="30"/>
  <c r="X91" i="30"/>
  <c r="X90" i="30"/>
  <c r="X89" i="30"/>
  <c r="X88" i="30"/>
  <c r="X87" i="30"/>
  <c r="X86" i="30"/>
  <c r="X85" i="30"/>
  <c r="X84" i="30"/>
  <c r="X83" i="30"/>
  <c r="X82" i="30"/>
  <c r="X81" i="30"/>
  <c r="X80" i="30"/>
  <c r="X79" i="30"/>
  <c r="X78" i="30"/>
  <c r="X77" i="30"/>
  <c r="X76" i="30"/>
  <c r="X75" i="30"/>
  <c r="X74" i="30"/>
  <c r="X73" i="30"/>
  <c r="X72" i="30"/>
  <c r="X71" i="30"/>
  <c r="X70" i="30"/>
  <c r="X69" i="30"/>
  <c r="X68" i="30"/>
  <c r="X67" i="30"/>
  <c r="X66" i="30"/>
  <c r="X65" i="30"/>
  <c r="X64" i="30"/>
  <c r="X63" i="30"/>
  <c r="X62" i="30"/>
  <c r="X61" i="30"/>
  <c r="X60" i="30"/>
  <c r="X59" i="30"/>
  <c r="X58" i="30"/>
  <c r="X57" i="30"/>
  <c r="X56" i="30"/>
  <c r="X55" i="30"/>
  <c r="X54" i="30"/>
  <c r="X53" i="30"/>
  <c r="X52" i="30"/>
  <c r="X51" i="30"/>
  <c r="X50" i="30"/>
  <c r="X49" i="30"/>
  <c r="X48" i="30"/>
  <c r="X47" i="30"/>
  <c r="X46" i="30"/>
  <c r="X45" i="30"/>
  <c r="X44" i="30"/>
  <c r="X43" i="30"/>
  <c r="X42" i="30"/>
  <c r="X41" i="30"/>
  <c r="X40" i="30"/>
  <c r="X39" i="30"/>
  <c r="X38" i="30"/>
  <c r="X37" i="30"/>
  <c r="X36" i="30"/>
  <c r="X35" i="30"/>
  <c r="X34" i="30"/>
  <c r="X33" i="30"/>
  <c r="X32" i="30"/>
  <c r="X31" i="30"/>
  <c r="X30" i="30"/>
  <c r="X29" i="30"/>
  <c r="X28" i="30"/>
  <c r="X27" i="30"/>
  <c r="X26" i="30"/>
  <c r="X25" i="30"/>
  <c r="X24" i="30"/>
  <c r="X23" i="30"/>
  <c r="X22" i="30"/>
  <c r="X21" i="30"/>
  <c r="X20" i="30"/>
  <c r="X19" i="30"/>
  <c r="X18" i="30"/>
  <c r="X17" i="30"/>
  <c r="X16" i="30"/>
  <c r="X15" i="30"/>
  <c r="X14" i="30"/>
  <c r="X13" i="30"/>
  <c r="X12" i="30"/>
  <c r="X11" i="30"/>
  <c r="X10" i="30"/>
  <c r="X9" i="30"/>
  <c r="X8" i="30"/>
  <c r="X7" i="30"/>
  <c r="X6" i="30"/>
  <c r="X5" i="30"/>
  <c r="M124" i="30"/>
  <c r="M123" i="30"/>
  <c r="M122" i="30"/>
  <c r="M121" i="30"/>
  <c r="M120" i="30"/>
  <c r="M119" i="30"/>
  <c r="M118" i="30"/>
  <c r="M117" i="30"/>
  <c r="M116" i="30"/>
  <c r="M115" i="30"/>
  <c r="M114" i="30"/>
  <c r="M113" i="30"/>
  <c r="M112" i="30"/>
  <c r="M111" i="30"/>
  <c r="M110" i="30"/>
  <c r="M109" i="30"/>
  <c r="M108" i="30"/>
  <c r="M107" i="30"/>
  <c r="M106" i="30"/>
  <c r="M105" i="30"/>
  <c r="M104" i="30"/>
  <c r="M103" i="30"/>
  <c r="M102" i="30"/>
  <c r="M101" i="30"/>
  <c r="M100" i="30"/>
  <c r="M99" i="30"/>
  <c r="M98" i="30"/>
  <c r="M97" i="30"/>
  <c r="M96" i="30"/>
  <c r="M95" i="30"/>
  <c r="M94" i="30"/>
  <c r="M93" i="30"/>
  <c r="M92" i="30"/>
  <c r="M91" i="30"/>
  <c r="M90" i="30"/>
  <c r="M89" i="30"/>
  <c r="M88" i="30"/>
  <c r="M87" i="30"/>
  <c r="M86" i="30"/>
  <c r="M85" i="30"/>
  <c r="M84" i="30"/>
  <c r="M83" i="30"/>
  <c r="M82" i="30"/>
  <c r="M81" i="30"/>
  <c r="M80" i="30"/>
  <c r="M79" i="30"/>
  <c r="M78" i="30"/>
  <c r="M77" i="30"/>
  <c r="M76" i="30"/>
  <c r="M75" i="30"/>
  <c r="M74" i="30"/>
  <c r="M73" i="30"/>
  <c r="M72" i="30"/>
  <c r="M71" i="30"/>
  <c r="M70" i="30"/>
  <c r="M69" i="30"/>
  <c r="M68" i="30"/>
  <c r="M67" i="30"/>
  <c r="M66" i="30"/>
  <c r="M65" i="30"/>
  <c r="M64" i="30"/>
  <c r="M63" i="30"/>
  <c r="M62" i="30"/>
  <c r="M61" i="30"/>
  <c r="M60" i="30"/>
  <c r="M59" i="30"/>
  <c r="M58" i="30"/>
  <c r="M57" i="30"/>
  <c r="M56" i="30"/>
  <c r="M55" i="30"/>
  <c r="M54" i="30"/>
  <c r="M53" i="30"/>
  <c r="M52" i="30"/>
  <c r="M51" i="30"/>
  <c r="M50" i="30"/>
  <c r="M49" i="30"/>
  <c r="M48" i="30"/>
  <c r="M47" i="30"/>
  <c r="M46" i="30"/>
  <c r="M45" i="30"/>
  <c r="M44" i="30"/>
  <c r="M43" i="30"/>
  <c r="M42" i="30"/>
  <c r="M41" i="30"/>
  <c r="M40" i="30"/>
  <c r="M39" i="30"/>
  <c r="M38" i="30"/>
  <c r="M37" i="30"/>
  <c r="M36" i="30"/>
  <c r="M35" i="30"/>
  <c r="M34" i="30"/>
  <c r="M33" i="30"/>
  <c r="M32" i="30"/>
  <c r="M31" i="30"/>
  <c r="M30" i="30"/>
  <c r="M29" i="30"/>
  <c r="M28" i="30"/>
  <c r="M27" i="30"/>
  <c r="M26" i="30"/>
  <c r="M25" i="30"/>
  <c r="M24" i="30"/>
  <c r="M23" i="30"/>
  <c r="M22" i="30"/>
  <c r="M21" i="30"/>
  <c r="M20" i="30"/>
  <c r="M19" i="30"/>
  <c r="M18" i="30"/>
  <c r="M17" i="30"/>
  <c r="M16" i="30"/>
  <c r="AN24" i="30" s="1"/>
  <c r="M15" i="30"/>
  <c r="AN23" i="30" s="1"/>
  <c r="M14" i="30"/>
  <c r="AN22" i="30" s="1"/>
  <c r="M13" i="30"/>
  <c r="AN21" i="30" s="1"/>
  <c r="M12" i="30"/>
  <c r="AN20" i="30" s="1"/>
  <c r="M11" i="30"/>
  <c r="AN19" i="30" s="1"/>
  <c r="M10" i="30"/>
  <c r="AN18" i="30" s="1"/>
  <c r="M9" i="30"/>
  <c r="AN17" i="30" s="1"/>
  <c r="M8" i="30"/>
  <c r="AN16" i="30" s="1"/>
  <c r="M7" i="30"/>
  <c r="AN15" i="30" s="1"/>
  <c r="M6" i="30"/>
  <c r="AN14" i="30" s="1"/>
  <c r="M5" i="30"/>
  <c r="F5" i="30"/>
  <c r="P5" i="30" l="1"/>
  <c r="P6" i="30" s="1"/>
  <c r="AN13" i="30"/>
  <c r="AF5" i="30"/>
  <c r="Q5" i="30"/>
  <c r="N5" i="30" s="1"/>
  <c r="R6" i="30"/>
  <c r="Q6" i="30" s="1"/>
  <c r="N6" i="30" s="1"/>
  <c r="AB5" i="30"/>
  <c r="Y5" i="30" s="1"/>
  <c r="Z5" i="30" s="1"/>
  <c r="AC6" i="30"/>
  <c r="AC7" i="30" s="1"/>
  <c r="AB7" i="30" s="1"/>
  <c r="C33" i="21"/>
  <c r="E35" i="12" s="1"/>
  <c r="D33" i="21"/>
  <c r="C38" i="21"/>
  <c r="E37" i="12" s="1"/>
  <c r="AG5" i="30"/>
  <c r="AG6" i="30" s="1"/>
  <c r="AG7" i="30" s="1"/>
  <c r="AG8" i="30" s="1"/>
  <c r="AG9" i="30" s="1"/>
  <c r="AG10" i="30" s="1"/>
  <c r="AG11" i="30" s="1"/>
  <c r="AG12" i="30" s="1"/>
  <c r="AG13" i="30" s="1"/>
  <c r="AG14" i="30" s="1"/>
  <c r="AG15" i="30" s="1"/>
  <c r="AG16" i="30" s="1"/>
  <c r="AG17" i="30" s="1"/>
  <c r="AG18" i="30" s="1"/>
  <c r="AG19" i="30" s="1"/>
  <c r="AG20" i="30" s="1"/>
  <c r="AG21" i="30" s="1"/>
  <c r="AG22" i="30" s="1"/>
  <c r="AG23" i="30" s="1"/>
  <c r="AG24" i="30" s="1"/>
  <c r="AG25" i="30" s="1"/>
  <c r="AG26" i="30" s="1"/>
  <c r="AG27" i="30" s="1"/>
  <c r="AG28" i="30" s="1"/>
  <c r="AG29" i="30" s="1"/>
  <c r="AG30" i="30" s="1"/>
  <c r="AG31" i="30" s="1"/>
  <c r="AG32" i="30" s="1"/>
  <c r="AG33" i="30" s="1"/>
  <c r="AG34" i="30" s="1"/>
  <c r="AG35" i="30" s="1"/>
  <c r="AG36" i="30" s="1"/>
  <c r="AG37" i="30" s="1"/>
  <c r="AG38" i="30" s="1"/>
  <c r="AG39" i="30" s="1"/>
  <c r="AG40" i="30" s="1"/>
  <c r="AG41" i="30" s="1"/>
  <c r="AG42" i="30" s="1"/>
  <c r="AG43" i="30" s="1"/>
  <c r="AG44" i="30" s="1"/>
  <c r="AG45" i="30" s="1"/>
  <c r="AG46" i="30" s="1"/>
  <c r="AG47" i="30" s="1"/>
  <c r="AG48" i="30" s="1"/>
  <c r="AG49" i="30" s="1"/>
  <c r="AG50" i="30" s="1"/>
  <c r="AG51" i="30" s="1"/>
  <c r="AG52" i="30" s="1"/>
  <c r="AG53" i="30" s="1"/>
  <c r="AG54" i="30" s="1"/>
  <c r="AG55" i="30" s="1"/>
  <c r="AG56" i="30" s="1"/>
  <c r="AG57" i="30" s="1"/>
  <c r="AG58" i="30" s="1"/>
  <c r="AG59" i="30" s="1"/>
  <c r="AG60" i="30" s="1"/>
  <c r="AG61" i="30" s="1"/>
  <c r="AG62" i="30" s="1"/>
  <c r="AG63" i="30" s="1"/>
  <c r="AG64" i="30" s="1"/>
  <c r="AG65" i="30" s="1"/>
  <c r="AG66" i="30" s="1"/>
  <c r="AG67" i="30" s="1"/>
  <c r="AG68" i="30" s="1"/>
  <c r="AG69" i="30" s="1"/>
  <c r="AG70" i="30" s="1"/>
  <c r="AG71" i="30" s="1"/>
  <c r="AG72" i="30" s="1"/>
  <c r="AG73" i="30" s="1"/>
  <c r="AG74" i="30" s="1"/>
  <c r="AG75" i="30" s="1"/>
  <c r="AG76" i="30" s="1"/>
  <c r="AG77" i="30" s="1"/>
  <c r="AG78" i="30" s="1"/>
  <c r="AG79" i="30" s="1"/>
  <c r="AG80" i="30" s="1"/>
  <c r="AG81" i="30" s="1"/>
  <c r="AG82" i="30" s="1"/>
  <c r="AG83" i="30" s="1"/>
  <c r="AG84" i="30" s="1"/>
  <c r="AG85" i="30" s="1"/>
  <c r="AG86" i="30" s="1"/>
  <c r="AG87" i="30" s="1"/>
  <c r="AG88" i="30" s="1"/>
  <c r="AG89" i="30" s="1"/>
  <c r="AG90" i="30" s="1"/>
  <c r="AG91" i="30" s="1"/>
  <c r="AG92" i="30" s="1"/>
  <c r="AG93" i="30" s="1"/>
  <c r="AG94" i="30" s="1"/>
  <c r="AG95" i="30" s="1"/>
  <c r="AG96" i="30" s="1"/>
  <c r="AG97" i="30" s="1"/>
  <c r="AG98" i="30" s="1"/>
  <c r="AG99" i="30" s="1"/>
  <c r="AG100" i="30" s="1"/>
  <c r="AG101" i="30" s="1"/>
  <c r="AG102" i="30" s="1"/>
  <c r="AG103" i="30" s="1"/>
  <c r="AG104" i="30" s="1"/>
  <c r="AG105" i="30" s="1"/>
  <c r="AG106" i="30" s="1"/>
  <c r="AG107" i="30" s="1"/>
  <c r="AG108" i="30" s="1"/>
  <c r="AG109" i="30" s="1"/>
  <c r="AG110" i="30" s="1"/>
  <c r="AG111" i="30" s="1"/>
  <c r="AG112" i="30" s="1"/>
  <c r="AG113" i="30" s="1"/>
  <c r="AG114" i="30" s="1"/>
  <c r="AG115" i="30" s="1"/>
  <c r="AG116" i="30" s="1"/>
  <c r="AG117" i="30" s="1"/>
  <c r="AG118" i="30" s="1"/>
  <c r="AG119" i="30" s="1"/>
  <c r="AG120" i="30" s="1"/>
  <c r="AG121" i="30" s="1"/>
  <c r="AG122" i="30" s="1"/>
  <c r="AG123" i="30" s="1"/>
  <c r="AG124" i="30" s="1"/>
  <c r="AA5" i="30"/>
  <c r="AA6" i="30" s="1"/>
  <c r="X125" i="30"/>
  <c r="X127" i="30" s="1"/>
  <c r="AD3" i="30" s="1"/>
  <c r="U5" i="30"/>
  <c r="M125" i="30"/>
  <c r="M127" i="30" s="1"/>
  <c r="S3" i="30" s="1"/>
  <c r="T5" i="30" l="1"/>
  <c r="T6" i="30" s="1"/>
  <c r="AQ13" i="30"/>
  <c r="O6" i="30"/>
  <c r="AQ14" i="30"/>
  <c r="O5" i="30"/>
  <c r="U6" i="30"/>
  <c r="R7" i="30"/>
  <c r="Q7" i="30" s="1"/>
  <c r="N7" i="30" s="1"/>
  <c r="AQ15" i="30" s="1"/>
  <c r="AE5" i="30"/>
  <c r="D39" i="21"/>
  <c r="F35" i="12"/>
  <c r="AC8" i="30"/>
  <c r="AC9" i="30" s="1"/>
  <c r="AB6" i="30"/>
  <c r="Y6" i="30" s="1"/>
  <c r="Z6" i="30" s="1"/>
  <c r="AF6" i="30"/>
  <c r="AF7" i="30" s="1"/>
  <c r="C39" i="21"/>
  <c r="Y7" i="30"/>
  <c r="Z7" i="30" s="1"/>
  <c r="AA7" i="30"/>
  <c r="R8" i="30"/>
  <c r="P7" i="30"/>
  <c r="AF8" i="30" l="1"/>
  <c r="AF9" i="30" s="1"/>
  <c r="U7" i="30"/>
  <c r="U8" i="30" s="1"/>
  <c r="AE6" i="30"/>
  <c r="AE7" i="30" s="1"/>
  <c r="AB8" i="30"/>
  <c r="Y8" i="30" s="1"/>
  <c r="Z8" i="30" s="1"/>
  <c r="AA8" i="30"/>
  <c r="AC10" i="30"/>
  <c r="AB9" i="30"/>
  <c r="O7" i="30"/>
  <c r="T7" i="30"/>
  <c r="R9" i="30"/>
  <c r="Q8" i="30"/>
  <c r="N8" i="30" s="1"/>
  <c r="AQ16" i="30" s="1"/>
  <c r="P8" i="30"/>
  <c r="AE8" i="30" l="1"/>
  <c r="Y9" i="30"/>
  <c r="Z9" i="30" s="1"/>
  <c r="O8" i="30"/>
  <c r="T8" i="30"/>
  <c r="AA9" i="30"/>
  <c r="AF10" i="30"/>
  <c r="AC11" i="30"/>
  <c r="AB10" i="30"/>
  <c r="P9" i="30"/>
  <c r="R10" i="30"/>
  <c r="Q9" i="30"/>
  <c r="N9" i="30" s="1"/>
  <c r="AQ17" i="30" s="1"/>
  <c r="U9" i="30"/>
  <c r="AE9" i="30" l="1"/>
  <c r="Y10" i="30"/>
  <c r="Z10" i="30" s="1"/>
  <c r="AA10" i="30"/>
  <c r="AF11" i="30"/>
  <c r="AC12" i="30"/>
  <c r="AB11" i="30"/>
  <c r="O9" i="30"/>
  <c r="T9" i="30"/>
  <c r="P10" i="30"/>
  <c r="R11" i="30"/>
  <c r="Q10" i="30"/>
  <c r="N10" i="30" s="1"/>
  <c r="AQ18" i="30" s="1"/>
  <c r="U10" i="30"/>
  <c r="AE10" i="30" l="1"/>
  <c r="Y11" i="30"/>
  <c r="Z11" i="30" s="1"/>
  <c r="AA11" i="30"/>
  <c r="AA12" i="30" s="1"/>
  <c r="AF12" i="30"/>
  <c r="AB12" i="30"/>
  <c r="AC13" i="30"/>
  <c r="O10" i="30"/>
  <c r="T10" i="30"/>
  <c r="R12" i="30"/>
  <c r="Q11" i="30"/>
  <c r="N11" i="30" s="1"/>
  <c r="U11" i="30"/>
  <c r="P11" i="30"/>
  <c r="O11" i="30" l="1"/>
  <c r="AQ19" i="30"/>
  <c r="AE11" i="30"/>
  <c r="Y12" i="30"/>
  <c r="AF13" i="30"/>
  <c r="AC14" i="30"/>
  <c r="AB13" i="30"/>
  <c r="Y13" i="30" s="1"/>
  <c r="Z13" i="30" s="1"/>
  <c r="AA13" i="30"/>
  <c r="T11" i="30"/>
  <c r="P12" i="30"/>
  <c r="R13" i="30"/>
  <c r="Q12" i="30"/>
  <c r="N12" i="30" s="1"/>
  <c r="AQ20" i="30" s="1"/>
  <c r="U12" i="30"/>
  <c r="AE12" i="30" l="1"/>
  <c r="AE13" i="30" s="1"/>
  <c r="Z12" i="30"/>
  <c r="AF14" i="30"/>
  <c r="AC15" i="30"/>
  <c r="AB14" i="30"/>
  <c r="Y14" i="30" s="1"/>
  <c r="Z14" i="30" s="1"/>
  <c r="AA14" i="30"/>
  <c r="O12" i="30"/>
  <c r="T12" i="30"/>
  <c r="P13" i="30"/>
  <c r="R14" i="30"/>
  <c r="Q13" i="30"/>
  <c r="U13" i="30"/>
  <c r="N13" i="30" l="1"/>
  <c r="AE14" i="30"/>
  <c r="AA15" i="30"/>
  <c r="AF15" i="30"/>
  <c r="AC16" i="30"/>
  <c r="AB15" i="30"/>
  <c r="Y15" i="30" s="1"/>
  <c r="R15" i="30"/>
  <c r="Q14" i="30"/>
  <c r="N14" i="30" s="1"/>
  <c r="AQ22" i="30" s="1"/>
  <c r="U14" i="30"/>
  <c r="P14" i="30"/>
  <c r="T13" i="30" l="1"/>
  <c r="T14" i="30" s="1"/>
  <c r="AQ21" i="30"/>
  <c r="O13" i="30"/>
  <c r="Z15" i="30"/>
  <c r="AE15" i="30"/>
  <c r="AF16" i="30"/>
  <c r="AC17" i="30"/>
  <c r="AB16" i="30"/>
  <c r="Y16" i="30" s="1"/>
  <c r="Z16" i="30" s="1"/>
  <c r="AA16" i="30"/>
  <c r="O14" i="30"/>
  <c r="R16" i="30"/>
  <c r="Q15" i="30"/>
  <c r="N15" i="30" s="1"/>
  <c r="U15" i="30"/>
  <c r="P15" i="30"/>
  <c r="O15" i="30" l="1"/>
  <c r="AQ23" i="30"/>
  <c r="AA17" i="30"/>
  <c r="AE16" i="30"/>
  <c r="AF17" i="30"/>
  <c r="AC18" i="30"/>
  <c r="AB17" i="30"/>
  <c r="Y17" i="30" s="1"/>
  <c r="P16" i="30"/>
  <c r="T15" i="30"/>
  <c r="R17" i="30"/>
  <c r="Q16" i="30"/>
  <c r="N16" i="30" s="1"/>
  <c r="AQ24" i="30" s="1"/>
  <c r="U16" i="30"/>
  <c r="Z17" i="30" l="1"/>
  <c r="AE17" i="30"/>
  <c r="AF18" i="30"/>
  <c r="AC19" i="30"/>
  <c r="AB18" i="30"/>
  <c r="Y18" i="30" s="1"/>
  <c r="AA18" i="30"/>
  <c r="O16" i="30"/>
  <c r="T16" i="30"/>
  <c r="P17" i="30"/>
  <c r="R18" i="30"/>
  <c r="Q17" i="30"/>
  <c r="U17" i="30"/>
  <c r="N17" i="30" l="1"/>
  <c r="O17" i="30" s="1"/>
  <c r="Z18" i="30"/>
  <c r="AE18" i="30"/>
  <c r="AF19" i="30"/>
  <c r="AC20" i="30"/>
  <c r="AB19" i="30"/>
  <c r="Y19" i="30" s="1"/>
  <c r="Z19" i="30" s="1"/>
  <c r="AA19" i="30"/>
  <c r="P18" i="30"/>
  <c r="R19" i="30"/>
  <c r="Q18" i="30"/>
  <c r="N18" i="30" s="1"/>
  <c r="U18" i="30"/>
  <c r="T17" i="30" l="1"/>
  <c r="T18" i="30" s="1"/>
  <c r="AA20" i="30"/>
  <c r="AE19" i="30"/>
  <c r="AF20" i="30"/>
  <c r="AC21" i="30"/>
  <c r="AB20" i="30"/>
  <c r="Y20" i="30" s="1"/>
  <c r="O18" i="30"/>
  <c r="P19" i="30"/>
  <c r="R20" i="30"/>
  <c r="Q19" i="30"/>
  <c r="U19" i="30"/>
  <c r="N19" i="30" l="1"/>
  <c r="O19" i="30" s="1"/>
  <c r="Z20" i="30"/>
  <c r="AE20" i="30"/>
  <c r="AF21" i="30"/>
  <c r="AC22" i="30"/>
  <c r="AB21" i="30"/>
  <c r="Y21" i="30" s="1"/>
  <c r="Z21" i="30" s="1"/>
  <c r="AA21" i="30"/>
  <c r="P20" i="30"/>
  <c r="R21" i="30"/>
  <c r="Q20" i="30"/>
  <c r="N20" i="30" s="1"/>
  <c r="U20" i="30"/>
  <c r="T19" i="30" l="1"/>
  <c r="T20" i="30" s="1"/>
  <c r="AE21" i="30"/>
  <c r="AA22" i="30"/>
  <c r="AF22" i="30"/>
  <c r="AC23" i="30"/>
  <c r="AB22" i="30"/>
  <c r="Y22" i="30" s="1"/>
  <c r="O20" i="30"/>
  <c r="P21" i="30"/>
  <c r="R22" i="30"/>
  <c r="Q21" i="30"/>
  <c r="N21" i="30" s="1"/>
  <c r="U21" i="30"/>
  <c r="G6" i="30"/>
  <c r="F6" i="30" s="1"/>
  <c r="T21" i="30" l="1"/>
  <c r="O21" i="30"/>
  <c r="Z22" i="30"/>
  <c r="AE22" i="30"/>
  <c r="AC24" i="30"/>
  <c r="AF23" i="30"/>
  <c r="AB23" i="30"/>
  <c r="Y23" i="30" s="1"/>
  <c r="AA23" i="30"/>
  <c r="P22" i="30"/>
  <c r="R23" i="30"/>
  <c r="Q22" i="30"/>
  <c r="N22" i="30" s="1"/>
  <c r="U22" i="30"/>
  <c r="G7" i="30"/>
  <c r="F7" i="30" s="1"/>
  <c r="E21" i="19"/>
  <c r="G37" i="12" l="1"/>
  <c r="H37" i="12" s="1"/>
  <c r="I37" i="12" s="1"/>
  <c r="J37" i="12" s="1"/>
  <c r="K37" i="12" s="1"/>
  <c r="L37" i="12" s="1"/>
  <c r="M37" i="12" s="1"/>
  <c r="N37" i="12" s="1"/>
  <c r="Z23" i="30"/>
  <c r="AE23" i="30"/>
  <c r="AA24" i="30"/>
  <c r="AC25" i="30"/>
  <c r="AF24" i="30"/>
  <c r="AB24" i="30"/>
  <c r="Y24" i="30" s="1"/>
  <c r="O22" i="30"/>
  <c r="T22" i="30"/>
  <c r="R24" i="30"/>
  <c r="Q23" i="30"/>
  <c r="N23" i="30" s="1"/>
  <c r="O23" i="30" s="1"/>
  <c r="U23" i="30"/>
  <c r="P23" i="30"/>
  <c r="G8" i="30"/>
  <c r="F8" i="30" s="1"/>
  <c r="Z24" i="30" l="1"/>
  <c r="AE24" i="30"/>
  <c r="AF25" i="30"/>
  <c r="AC26" i="30"/>
  <c r="AB25" i="30"/>
  <c r="Y25" i="30" s="1"/>
  <c r="Z25" i="30" s="1"/>
  <c r="AA25" i="30"/>
  <c r="P24" i="30"/>
  <c r="R25" i="30"/>
  <c r="Q24" i="30"/>
  <c r="U24" i="30"/>
  <c r="T23" i="30"/>
  <c r="G9" i="30"/>
  <c r="F9" i="30" s="1"/>
  <c r="H8" i="20"/>
  <c r="AE25" i="30" l="1"/>
  <c r="N24" i="30"/>
  <c r="O24" i="30" s="1"/>
  <c r="AF26" i="30"/>
  <c r="AC27" i="30"/>
  <c r="AB26" i="30"/>
  <c r="Y26" i="30" s="1"/>
  <c r="AA26" i="30"/>
  <c r="P25" i="30"/>
  <c r="R26" i="30"/>
  <c r="Q25" i="30"/>
  <c r="N25" i="30" s="1"/>
  <c r="U25" i="30"/>
  <c r="G10" i="30"/>
  <c r="F10" i="30" s="1"/>
  <c r="T24" i="30" l="1"/>
  <c r="T25" i="30" s="1"/>
  <c r="Z26" i="30"/>
  <c r="AE26" i="30"/>
  <c r="AF27" i="30"/>
  <c r="AC28" i="30"/>
  <c r="AB27" i="30"/>
  <c r="Y27" i="30" s="1"/>
  <c r="Z27" i="30" s="1"/>
  <c r="AA27" i="30"/>
  <c r="O25" i="30"/>
  <c r="P26" i="30"/>
  <c r="R27" i="30"/>
  <c r="Q26" i="30"/>
  <c r="N26" i="30" s="1"/>
  <c r="U26" i="30"/>
  <c r="G11" i="30"/>
  <c r="F11" i="30" s="1"/>
  <c r="AE27" i="30" l="1"/>
  <c r="AF28" i="30"/>
  <c r="AC29" i="30"/>
  <c r="AB28" i="30"/>
  <c r="Y28" i="30" s="1"/>
  <c r="AA28" i="30"/>
  <c r="O26" i="30"/>
  <c r="T26" i="30"/>
  <c r="P27" i="30"/>
  <c r="R28" i="30"/>
  <c r="Q27" i="30"/>
  <c r="U27" i="30"/>
  <c r="G12" i="30"/>
  <c r="F12" i="30" s="1"/>
  <c r="N27" i="30" l="1"/>
  <c r="T27" i="30" s="1"/>
  <c r="Z28" i="30"/>
  <c r="AE28" i="30"/>
  <c r="AF29" i="30"/>
  <c r="AC30" i="30"/>
  <c r="AB29" i="30"/>
  <c r="Y29" i="30" s="1"/>
  <c r="Z29" i="30" s="1"/>
  <c r="AA29" i="30"/>
  <c r="P28" i="30"/>
  <c r="R29" i="30"/>
  <c r="Q28" i="30"/>
  <c r="N28" i="30" s="1"/>
  <c r="U28" i="30"/>
  <c r="G13" i="30"/>
  <c r="F13" i="30" s="1"/>
  <c r="O27" i="30" l="1"/>
  <c r="AE29" i="30"/>
  <c r="AF30" i="30"/>
  <c r="AC31" i="30"/>
  <c r="AB30" i="30"/>
  <c r="Y30" i="30" s="1"/>
  <c r="AA30" i="30"/>
  <c r="O28" i="30"/>
  <c r="T28" i="30"/>
  <c r="P29" i="30"/>
  <c r="R30" i="30"/>
  <c r="Q29" i="30"/>
  <c r="N29" i="30" s="1"/>
  <c r="U29" i="30"/>
  <c r="G14" i="30"/>
  <c r="F14" i="30" s="1"/>
  <c r="T29" i="30" l="1"/>
  <c r="O29" i="30"/>
  <c r="Z30" i="30"/>
  <c r="AE30" i="30"/>
  <c r="AF31" i="30"/>
  <c r="AC32" i="30"/>
  <c r="AB31" i="30"/>
  <c r="Y31" i="30" s="1"/>
  <c r="Z31" i="30" s="1"/>
  <c r="AA31" i="30"/>
  <c r="P30" i="30"/>
  <c r="R31" i="30"/>
  <c r="Q30" i="30"/>
  <c r="N30" i="30" s="1"/>
  <c r="U30" i="30"/>
  <c r="G15" i="30"/>
  <c r="F15" i="30" s="1"/>
  <c r="N14" i="25" l="1"/>
  <c r="N13" i="25"/>
  <c r="N9" i="25"/>
  <c r="N12" i="25"/>
  <c r="N11" i="25"/>
  <c r="N8" i="25"/>
  <c r="N6" i="25"/>
  <c r="F8" i="12"/>
  <c r="E8" i="12"/>
  <c r="AE31" i="30"/>
  <c r="AF32" i="30"/>
  <c r="AC33" i="30"/>
  <c r="AB32" i="30"/>
  <c r="Y32" i="30" s="1"/>
  <c r="AA32" i="30"/>
  <c r="O30" i="30"/>
  <c r="T30" i="30"/>
  <c r="R32" i="30"/>
  <c r="Q31" i="30"/>
  <c r="N31" i="30" s="1"/>
  <c r="O31" i="30" s="1"/>
  <c r="U31" i="30"/>
  <c r="P31" i="30"/>
  <c r="G16" i="30"/>
  <c r="F16" i="30" s="1"/>
  <c r="E3" i="12"/>
  <c r="F3" i="12"/>
  <c r="G3" i="12"/>
  <c r="H3" i="12"/>
  <c r="I3" i="12"/>
  <c r="J3" i="12"/>
  <c r="K3" i="12"/>
  <c r="L3" i="12"/>
  <c r="M3" i="12"/>
  <c r="N3" i="12"/>
  <c r="G8" i="12" l="1"/>
  <c r="G19" i="12" s="1"/>
  <c r="F9" i="12"/>
  <c r="F19" i="12" s="1"/>
  <c r="E9" i="12"/>
  <c r="Z32" i="30"/>
  <c r="AE32" i="30"/>
  <c r="AF33" i="30"/>
  <c r="AC34" i="30"/>
  <c r="AB33" i="30"/>
  <c r="AA33" i="30"/>
  <c r="P32" i="30"/>
  <c r="R33" i="30"/>
  <c r="Q32" i="30"/>
  <c r="N32" i="30" s="1"/>
  <c r="U32" i="30"/>
  <c r="T31" i="30"/>
  <c r="G17" i="30"/>
  <c r="F17" i="30" s="1"/>
  <c r="G108" i="12"/>
  <c r="G54" i="12"/>
  <c r="G73" i="12"/>
  <c r="K108" i="12"/>
  <c r="K54" i="12"/>
  <c r="K73" i="12"/>
  <c r="N73" i="12"/>
  <c r="N54" i="12"/>
  <c r="N108" i="12"/>
  <c r="J54" i="12"/>
  <c r="J73" i="12"/>
  <c r="J108" i="12"/>
  <c r="F73" i="12"/>
  <c r="F54" i="12"/>
  <c r="F108" i="12"/>
  <c r="M54" i="12"/>
  <c r="M73" i="12"/>
  <c r="M108" i="12"/>
  <c r="I108" i="12"/>
  <c r="I73" i="12"/>
  <c r="I54" i="12"/>
  <c r="E54" i="12"/>
  <c r="E108" i="12"/>
  <c r="E73" i="12"/>
  <c r="L73" i="12"/>
  <c r="L54" i="12"/>
  <c r="L108" i="12"/>
  <c r="H73" i="12"/>
  <c r="H108" i="12"/>
  <c r="H54" i="12"/>
  <c r="H8" i="12" l="1"/>
  <c r="Y33" i="30"/>
  <c r="AE33" i="30" s="1"/>
  <c r="AF34" i="30"/>
  <c r="AC35" i="30"/>
  <c r="AB34" i="30"/>
  <c r="Y34" i="30" s="1"/>
  <c r="AA34" i="30"/>
  <c r="O32" i="30"/>
  <c r="T32" i="30"/>
  <c r="R34" i="30"/>
  <c r="Q33" i="30"/>
  <c r="N33" i="30" s="1"/>
  <c r="O33" i="30" s="1"/>
  <c r="U33" i="30"/>
  <c r="P33" i="30"/>
  <c r="G18" i="30"/>
  <c r="F18" i="30" s="1"/>
  <c r="H30" i="25"/>
  <c r="H14" i="12" l="1"/>
  <c r="I8" i="12"/>
  <c r="Z33" i="30"/>
  <c r="Z34" i="30"/>
  <c r="AE34" i="30"/>
  <c r="AF35" i="30"/>
  <c r="AC36" i="30"/>
  <c r="AB35" i="30"/>
  <c r="Y35" i="30" s="1"/>
  <c r="Z35" i="30" s="1"/>
  <c r="AA35" i="30"/>
  <c r="T33" i="30"/>
  <c r="P34" i="30"/>
  <c r="R35" i="30"/>
  <c r="Q34" i="30"/>
  <c r="N34" i="30" s="1"/>
  <c r="U34" i="30"/>
  <c r="G19" i="30"/>
  <c r="F19" i="30" s="1"/>
  <c r="J30" i="25"/>
  <c r="I14" i="12" l="1"/>
  <c r="H26" i="12"/>
  <c r="H19" i="12"/>
  <c r="J8" i="12"/>
  <c r="I10" i="12"/>
  <c r="AE35" i="30"/>
  <c r="AF36" i="30"/>
  <c r="AC37" i="30"/>
  <c r="AB36" i="30"/>
  <c r="Y36" i="30" s="1"/>
  <c r="AA36" i="30"/>
  <c r="O34" i="30"/>
  <c r="T34" i="30"/>
  <c r="P35" i="30"/>
  <c r="R36" i="30"/>
  <c r="Q35" i="30"/>
  <c r="U35" i="30"/>
  <c r="G20" i="30"/>
  <c r="F20" i="30" s="1"/>
  <c r="L4" i="25"/>
  <c r="N4" i="25" s="1"/>
  <c r="I19" i="12" l="1"/>
  <c r="J14" i="12"/>
  <c r="I26" i="12"/>
  <c r="K8" i="12"/>
  <c r="J10" i="12"/>
  <c r="N35" i="30"/>
  <c r="O35" i="30" s="1"/>
  <c r="Z36" i="30"/>
  <c r="AE36" i="30"/>
  <c r="AF37" i="30"/>
  <c r="AC38" i="30"/>
  <c r="AB37" i="30"/>
  <c r="Y37" i="30" s="1"/>
  <c r="Z37" i="30" s="1"/>
  <c r="AA37" i="30"/>
  <c r="R37" i="30"/>
  <c r="Q36" i="30"/>
  <c r="N36" i="30" s="1"/>
  <c r="U36" i="30"/>
  <c r="P36" i="30"/>
  <c r="G21" i="30"/>
  <c r="F21" i="30" s="1"/>
  <c r="L30" i="25"/>
  <c r="J19" i="12" l="1"/>
  <c r="K14" i="12"/>
  <c r="J26" i="12"/>
  <c r="L8" i="12"/>
  <c r="K10" i="12"/>
  <c r="N30" i="25"/>
  <c r="C20" i="12" s="1"/>
  <c r="T35" i="30"/>
  <c r="T36" i="30" s="1"/>
  <c r="AE37" i="30"/>
  <c r="AA38" i="30"/>
  <c r="AF38" i="30"/>
  <c r="AC39" i="30"/>
  <c r="AB38" i="30"/>
  <c r="Y38" i="30" s="1"/>
  <c r="O36" i="30"/>
  <c r="P37" i="30"/>
  <c r="R38" i="30"/>
  <c r="U37" i="30"/>
  <c r="Q37" i="30"/>
  <c r="N37" i="30" s="1"/>
  <c r="G22" i="30"/>
  <c r="F22" i="30" s="1"/>
  <c r="K19" i="12" l="1"/>
  <c r="K20" i="12"/>
  <c r="C25" i="12"/>
  <c r="C22" i="12"/>
  <c r="C21" i="12"/>
  <c r="C23" i="12"/>
  <c r="C24" i="12"/>
  <c r="L14" i="12"/>
  <c r="K26" i="12"/>
  <c r="E20" i="12"/>
  <c r="F20" i="12"/>
  <c r="G20" i="12"/>
  <c r="H20" i="12"/>
  <c r="I20" i="12"/>
  <c r="J20" i="12"/>
  <c r="M8" i="12"/>
  <c r="L20" i="12"/>
  <c r="L10" i="12"/>
  <c r="Z38" i="30"/>
  <c r="AE38" i="30"/>
  <c r="AF39" i="30"/>
  <c r="AC40" i="30"/>
  <c r="AB39" i="30"/>
  <c r="Y39" i="30" s="1"/>
  <c r="Z39" i="30" s="1"/>
  <c r="AA39" i="30"/>
  <c r="O37" i="30"/>
  <c r="T37" i="30"/>
  <c r="P38" i="30"/>
  <c r="R39" i="30"/>
  <c r="U38" i="30"/>
  <c r="Q38" i="30"/>
  <c r="N38" i="30" s="1"/>
  <c r="G23" i="30"/>
  <c r="F23" i="30" s="1"/>
  <c r="H3" i="20"/>
  <c r="H111" i="20" s="1"/>
  <c r="D13" i="19" s="1"/>
  <c r="M14" i="12" l="1"/>
  <c r="L26" i="12"/>
  <c r="E24" i="12"/>
  <c r="I24" i="12"/>
  <c r="M24" i="12"/>
  <c r="F24" i="12"/>
  <c r="J24" i="12"/>
  <c r="N24" i="12"/>
  <c r="G24" i="12"/>
  <c r="K24" i="12"/>
  <c r="H24" i="12"/>
  <c r="L24" i="12"/>
  <c r="L19" i="12"/>
  <c r="M23" i="12"/>
  <c r="G23" i="12"/>
  <c r="K23" i="12"/>
  <c r="H23" i="12"/>
  <c r="L23" i="12"/>
  <c r="E23" i="12"/>
  <c r="I23" i="12"/>
  <c r="F23" i="12"/>
  <c r="J23" i="12"/>
  <c r="N23" i="12"/>
  <c r="I22" i="12"/>
  <c r="K22" i="12"/>
  <c r="G22" i="12"/>
  <c r="J22" i="12"/>
  <c r="E22" i="12"/>
  <c r="F22" i="12"/>
  <c r="H22" i="12"/>
  <c r="L22" i="12"/>
  <c r="N8" i="12"/>
  <c r="M20" i="12"/>
  <c r="M10" i="12"/>
  <c r="M22" i="12" s="1"/>
  <c r="I25" i="12"/>
  <c r="M25" i="12"/>
  <c r="G25" i="12"/>
  <c r="E25" i="12"/>
  <c r="H25" i="12"/>
  <c r="F25" i="12"/>
  <c r="J25" i="12"/>
  <c r="N25" i="12"/>
  <c r="K25" i="12"/>
  <c r="L25" i="12"/>
  <c r="I21" i="12"/>
  <c r="M21" i="12"/>
  <c r="J21" i="12"/>
  <c r="G21" i="12"/>
  <c r="K21" i="12"/>
  <c r="E21" i="12"/>
  <c r="H21" i="12"/>
  <c r="L21" i="12"/>
  <c r="F21" i="12"/>
  <c r="N21" i="12"/>
  <c r="H109" i="20"/>
  <c r="D9" i="19" s="1"/>
  <c r="AE39" i="30"/>
  <c r="AF40" i="30"/>
  <c r="AC41" i="30"/>
  <c r="AB40" i="30"/>
  <c r="Y40" i="30" s="1"/>
  <c r="AA40" i="30"/>
  <c r="O38" i="30"/>
  <c r="T38" i="30"/>
  <c r="P39" i="30"/>
  <c r="R40" i="30"/>
  <c r="U39" i="30"/>
  <c r="Q39" i="30"/>
  <c r="N39" i="30" s="1"/>
  <c r="G24" i="30"/>
  <c r="F24" i="30" s="1"/>
  <c r="H110" i="20"/>
  <c r="D11" i="19" s="1"/>
  <c r="H105" i="20"/>
  <c r="D3" i="19" s="1"/>
  <c r="H108" i="20"/>
  <c r="H106" i="20"/>
  <c r="D5" i="19" s="1"/>
  <c r="H107" i="20"/>
  <c r="D7" i="19" s="1"/>
  <c r="H101" i="20"/>
  <c r="E31" i="12" l="1"/>
  <c r="P8" i="33" s="1"/>
  <c r="J31" i="12"/>
  <c r="N14" i="12"/>
  <c r="N26" i="12" s="1"/>
  <c r="M26" i="12"/>
  <c r="M31" i="12" s="1"/>
  <c r="L31" i="12"/>
  <c r="M19" i="12"/>
  <c r="G31" i="12"/>
  <c r="I31" i="12"/>
  <c r="F31" i="12"/>
  <c r="H31" i="12"/>
  <c r="K31" i="12"/>
  <c r="N10" i="12"/>
  <c r="N22" i="12" s="1"/>
  <c r="N20" i="12"/>
  <c r="H115" i="20"/>
  <c r="E3" i="19"/>
  <c r="E4" i="19" s="1"/>
  <c r="F11" i="19"/>
  <c r="Z40" i="30"/>
  <c r="AE40" i="30"/>
  <c r="AF41" i="30"/>
  <c r="AC42" i="30"/>
  <c r="AB41" i="30"/>
  <c r="Y41" i="30" s="1"/>
  <c r="Z41" i="30" s="1"/>
  <c r="AA41" i="30"/>
  <c r="O39" i="30"/>
  <c r="T39" i="30"/>
  <c r="P40" i="30"/>
  <c r="R41" i="30"/>
  <c r="U40" i="30"/>
  <c r="Q40" i="30"/>
  <c r="N40" i="30" s="1"/>
  <c r="G25" i="30"/>
  <c r="F25" i="30" s="1"/>
  <c r="F5" i="19"/>
  <c r="F9" i="19"/>
  <c r="F7" i="19"/>
  <c r="N31" i="12" l="1"/>
  <c r="N19" i="12"/>
  <c r="H6" i="35"/>
  <c r="E13" i="19"/>
  <c r="E14" i="19" s="1"/>
  <c r="F13" i="19"/>
  <c r="F3" i="19"/>
  <c r="E11" i="19"/>
  <c r="E12" i="19" s="1"/>
  <c r="F12" i="19" s="1"/>
  <c r="G11" i="19" s="1"/>
  <c r="G12" i="19" s="1"/>
  <c r="AE41" i="30"/>
  <c r="AF42" i="30"/>
  <c r="AC43" i="30"/>
  <c r="AB42" i="30"/>
  <c r="Y42" i="30" s="1"/>
  <c r="AA42" i="30"/>
  <c r="O40" i="30"/>
  <c r="T40" i="30"/>
  <c r="P41" i="30"/>
  <c r="R42" i="30"/>
  <c r="U41" i="30"/>
  <c r="Q41" i="30"/>
  <c r="N41" i="30" s="1"/>
  <c r="E5" i="19"/>
  <c r="E6" i="19" s="1"/>
  <c r="F6" i="19" s="1"/>
  <c r="G5" i="19" s="1"/>
  <c r="G26" i="30"/>
  <c r="F26" i="30" s="1"/>
  <c r="E9" i="19"/>
  <c r="E10" i="19" s="1"/>
  <c r="F10" i="19" s="1"/>
  <c r="G9" i="19" s="1"/>
  <c r="G10" i="19" s="1"/>
  <c r="H9" i="19" s="1"/>
  <c r="D16" i="19"/>
  <c r="E7" i="19"/>
  <c r="E8" i="19" s="1"/>
  <c r="E61" i="12" l="1"/>
  <c r="D38" i="33" s="1"/>
  <c r="P38" i="33" s="1"/>
  <c r="H8" i="35"/>
  <c r="F14" i="19"/>
  <c r="G13" i="19" s="1"/>
  <c r="F15" i="19"/>
  <c r="F36" i="12" s="1"/>
  <c r="E16" i="19"/>
  <c r="E80" i="12" s="1"/>
  <c r="F4" i="19"/>
  <c r="H11" i="19"/>
  <c r="H12" i="19" s="1"/>
  <c r="I11" i="19" s="1"/>
  <c r="Z42" i="30"/>
  <c r="AE42" i="30"/>
  <c r="AF43" i="30"/>
  <c r="AC44" i="30"/>
  <c r="AB43" i="30"/>
  <c r="Y43" i="30" s="1"/>
  <c r="Z43" i="30" s="1"/>
  <c r="AA43" i="30"/>
  <c r="O41" i="30"/>
  <c r="T41" i="30"/>
  <c r="P42" i="30"/>
  <c r="R43" i="30"/>
  <c r="U42" i="30"/>
  <c r="Q42" i="30"/>
  <c r="N42" i="30" s="1"/>
  <c r="G6" i="19"/>
  <c r="H5" i="19" s="1"/>
  <c r="H6" i="19" s="1"/>
  <c r="I5" i="19" s="1"/>
  <c r="G27" i="30"/>
  <c r="F27" i="30" s="1"/>
  <c r="E15" i="19"/>
  <c r="E36" i="12" s="1"/>
  <c r="F8" i="19"/>
  <c r="G7" i="19" s="1"/>
  <c r="G8" i="19" s="1"/>
  <c r="H7" i="19" s="1"/>
  <c r="G14" i="19" l="1"/>
  <c r="H13" i="19" s="1"/>
  <c r="H14" i="19" s="1"/>
  <c r="I13" i="19" s="1"/>
  <c r="G3" i="19"/>
  <c r="G4" i="19" s="1"/>
  <c r="F16" i="19"/>
  <c r="F80" i="12" s="1"/>
  <c r="AE43" i="30"/>
  <c r="AF44" i="30"/>
  <c r="AC45" i="30"/>
  <c r="AB44" i="30"/>
  <c r="Y44" i="30" s="1"/>
  <c r="AA44" i="30"/>
  <c r="O42" i="30"/>
  <c r="T42" i="30"/>
  <c r="P43" i="30"/>
  <c r="R44" i="30"/>
  <c r="U43" i="30"/>
  <c r="Q43" i="30"/>
  <c r="N43" i="30" s="1"/>
  <c r="G28" i="30"/>
  <c r="F28" i="30" s="1"/>
  <c r="H8" i="19"/>
  <c r="I7" i="19" s="1"/>
  <c r="H10" i="19"/>
  <c r="I9" i="19" s="1"/>
  <c r="I12" i="19"/>
  <c r="J11" i="19" s="1"/>
  <c r="I6" i="19"/>
  <c r="J5" i="19" s="1"/>
  <c r="G15" i="19" l="1"/>
  <c r="G36" i="12" s="1"/>
  <c r="I14" i="19"/>
  <c r="H3" i="19"/>
  <c r="G16" i="19"/>
  <c r="G80" i="12" s="1"/>
  <c r="Z44" i="30"/>
  <c r="AE44" i="30"/>
  <c r="AF45" i="30"/>
  <c r="AC46" i="30"/>
  <c r="AB45" i="30"/>
  <c r="Y45" i="30" s="1"/>
  <c r="Z45" i="30" s="1"/>
  <c r="AA45" i="30"/>
  <c r="O43" i="30"/>
  <c r="T43" i="30"/>
  <c r="P44" i="30"/>
  <c r="R45" i="30"/>
  <c r="U44" i="30"/>
  <c r="Q44" i="30"/>
  <c r="N44" i="30" s="1"/>
  <c r="G29" i="30"/>
  <c r="F29" i="30" s="1"/>
  <c r="I8" i="19"/>
  <c r="J7" i="19" s="1"/>
  <c r="J6" i="19"/>
  <c r="K5" i="19" s="1"/>
  <c r="J13" i="19" l="1"/>
  <c r="J14" i="19" s="1"/>
  <c r="H15" i="19"/>
  <c r="H36" i="12" s="1"/>
  <c r="H4" i="19"/>
  <c r="AE45" i="30"/>
  <c r="AF46" i="30"/>
  <c r="AC47" i="30"/>
  <c r="AB46" i="30"/>
  <c r="Y46" i="30" s="1"/>
  <c r="AA46" i="30"/>
  <c r="O44" i="30"/>
  <c r="T44" i="30"/>
  <c r="P45" i="30"/>
  <c r="R46" i="30"/>
  <c r="U45" i="30"/>
  <c r="Q45" i="30"/>
  <c r="N45" i="30" s="1"/>
  <c r="G30" i="30"/>
  <c r="F30" i="30" s="1"/>
  <c r="K6" i="19"/>
  <c r="L5" i="19" s="1"/>
  <c r="J12" i="19"/>
  <c r="K11" i="19" s="1"/>
  <c r="I10" i="19"/>
  <c r="J8" i="19"/>
  <c r="K7" i="19" s="1"/>
  <c r="K13" i="19" l="1"/>
  <c r="I3" i="19"/>
  <c r="I15" i="19" s="1"/>
  <c r="I36" i="12" s="1"/>
  <c r="H16" i="19"/>
  <c r="H80" i="12" s="1"/>
  <c r="Z46" i="30"/>
  <c r="AE46" i="30"/>
  <c r="AF47" i="30"/>
  <c r="AC48" i="30"/>
  <c r="AB47" i="30"/>
  <c r="Y47" i="30" s="1"/>
  <c r="Z47" i="30" s="1"/>
  <c r="AA47" i="30"/>
  <c r="O45" i="30"/>
  <c r="T45" i="30"/>
  <c r="P46" i="30"/>
  <c r="R47" i="30"/>
  <c r="U46" i="30"/>
  <c r="Q46" i="30"/>
  <c r="N46" i="30" s="1"/>
  <c r="G31" i="30"/>
  <c r="F31" i="30" s="1"/>
  <c r="J9" i="19"/>
  <c r="K8" i="19"/>
  <c r="L7" i="19" s="1"/>
  <c r="K12" i="19"/>
  <c r="L11" i="19" s="1"/>
  <c r="K14" i="19" l="1"/>
  <c r="L13" i="19" s="1"/>
  <c r="I4" i="19"/>
  <c r="J10" i="19"/>
  <c r="AA48" i="30"/>
  <c r="AF48" i="30"/>
  <c r="AC49" i="30"/>
  <c r="AB48" i="30"/>
  <c r="AE47" i="30"/>
  <c r="O46" i="30"/>
  <c r="T46" i="30"/>
  <c r="P47" i="30"/>
  <c r="R48" i="30"/>
  <c r="U47" i="30"/>
  <c r="Q47" i="30"/>
  <c r="N47" i="30" s="1"/>
  <c r="G32" i="30"/>
  <c r="F32" i="30" s="1"/>
  <c r="L8" i="19"/>
  <c r="M7" i="19" s="1"/>
  <c r="L6" i="19"/>
  <c r="M5" i="19" s="1"/>
  <c r="L14" i="19" l="1"/>
  <c r="J3" i="19"/>
  <c r="J15" i="19" s="1"/>
  <c r="J36" i="12" s="1"/>
  <c r="I16" i="19"/>
  <c r="I80" i="12" s="1"/>
  <c r="K9" i="19"/>
  <c r="K10" i="19" s="1"/>
  <c r="Y48" i="30"/>
  <c r="AE48" i="30" s="1"/>
  <c r="AF49" i="30"/>
  <c r="AC50" i="30"/>
  <c r="AB49" i="30"/>
  <c r="Y49" i="30" s="1"/>
  <c r="Z49" i="30" s="1"/>
  <c r="AA49" i="30"/>
  <c r="O47" i="30"/>
  <c r="T47" i="30"/>
  <c r="P48" i="30"/>
  <c r="R49" i="30"/>
  <c r="U48" i="30"/>
  <c r="Q48" i="30"/>
  <c r="N48" i="30" s="1"/>
  <c r="G33" i="30"/>
  <c r="F33" i="30" s="1"/>
  <c r="L12" i="19"/>
  <c r="M11" i="19" s="1"/>
  <c r="M8" i="19"/>
  <c r="N7" i="19" s="1"/>
  <c r="M13" i="19" l="1"/>
  <c r="J4" i="19"/>
  <c r="Z48" i="30"/>
  <c r="AC51" i="30"/>
  <c r="AF50" i="30"/>
  <c r="AB50" i="30"/>
  <c r="Y50" i="30" s="1"/>
  <c r="AE49" i="30"/>
  <c r="AA50" i="30"/>
  <c r="O48" i="30"/>
  <c r="T48" i="30"/>
  <c r="P49" i="30"/>
  <c r="R50" i="30"/>
  <c r="U49" i="30"/>
  <c r="Q49" i="30"/>
  <c r="N49" i="30" s="1"/>
  <c r="G34" i="30"/>
  <c r="F34" i="30" s="1"/>
  <c r="L9" i="19"/>
  <c r="N8" i="19"/>
  <c r="M6" i="19"/>
  <c r="N5" i="19" s="1"/>
  <c r="M14" i="19" l="1"/>
  <c r="N14" i="19" s="1"/>
  <c r="K3" i="19"/>
  <c r="K15" i="19" s="1"/>
  <c r="K36" i="12" s="1"/>
  <c r="J16" i="19"/>
  <c r="J80" i="12" s="1"/>
  <c r="L10" i="19"/>
  <c r="Z50" i="30"/>
  <c r="AE50" i="30"/>
  <c r="AA51" i="30"/>
  <c r="AC52" i="30"/>
  <c r="AF51" i="30"/>
  <c r="AB51" i="30"/>
  <c r="Y51" i="30" s="1"/>
  <c r="O49" i="30"/>
  <c r="T49" i="30"/>
  <c r="P50" i="30"/>
  <c r="U50" i="30"/>
  <c r="R51" i="30"/>
  <c r="Q50" i="30"/>
  <c r="N50" i="30" s="1"/>
  <c r="G35" i="30"/>
  <c r="F35" i="30" s="1"/>
  <c r="N6" i="19"/>
  <c r="M12" i="19"/>
  <c r="N11" i="19" s="1"/>
  <c r="N13" i="19" l="1"/>
  <c r="K4" i="19"/>
  <c r="M9" i="19"/>
  <c r="Z51" i="30"/>
  <c r="AE51" i="30"/>
  <c r="AA52" i="30"/>
  <c r="AC53" i="30"/>
  <c r="AF52" i="30"/>
  <c r="AB52" i="30"/>
  <c r="Y52" i="30" s="1"/>
  <c r="O50" i="30"/>
  <c r="T50" i="30"/>
  <c r="P51" i="30"/>
  <c r="U51" i="30"/>
  <c r="Q51" i="30"/>
  <c r="R52" i="30"/>
  <c r="G36" i="30"/>
  <c r="F36" i="30" s="1"/>
  <c r="N12" i="19"/>
  <c r="L3" i="19" l="1"/>
  <c r="L15" i="19" s="1"/>
  <c r="L36" i="12" s="1"/>
  <c r="K16" i="19"/>
  <c r="K80" i="12" s="1"/>
  <c r="M10" i="19"/>
  <c r="N51" i="30"/>
  <c r="T51" i="30" s="1"/>
  <c r="Z52" i="30"/>
  <c r="AE52" i="30"/>
  <c r="AA53" i="30"/>
  <c r="AC54" i="30"/>
  <c r="AF53" i="30"/>
  <c r="AB53" i="30"/>
  <c r="Y53" i="30" s="1"/>
  <c r="Q52" i="30"/>
  <c r="N52" i="30" s="1"/>
  <c r="U52" i="30"/>
  <c r="R53" i="30"/>
  <c r="P52" i="30"/>
  <c r="G37" i="30"/>
  <c r="F37" i="30" s="1"/>
  <c r="L4" i="19" l="1"/>
  <c r="N9" i="19"/>
  <c r="O51" i="30"/>
  <c r="Z53" i="30"/>
  <c r="AE53" i="30"/>
  <c r="AA54" i="30"/>
  <c r="AC55" i="30"/>
  <c r="AF54" i="30"/>
  <c r="AB54" i="30"/>
  <c r="Y54" i="30" s="1"/>
  <c r="O52" i="30"/>
  <c r="T52" i="30"/>
  <c r="U53" i="30"/>
  <c r="Q53" i="30"/>
  <c r="N53" i="30" s="1"/>
  <c r="O53" i="30" s="1"/>
  <c r="R54" i="30"/>
  <c r="P53" i="30"/>
  <c r="G38" i="30"/>
  <c r="F38" i="30" s="1"/>
  <c r="M3" i="19" l="1"/>
  <c r="M15" i="19" s="1"/>
  <c r="M36" i="12" s="1"/>
  <c r="L16" i="19"/>
  <c r="L80" i="12" s="1"/>
  <c r="N10" i="19"/>
  <c r="Z54" i="30"/>
  <c r="AE54" i="30"/>
  <c r="AA55" i="30"/>
  <c r="AC56" i="30"/>
  <c r="AF55" i="30"/>
  <c r="AB55" i="30"/>
  <c r="Y55" i="30" s="1"/>
  <c r="P54" i="30"/>
  <c r="T53" i="30"/>
  <c r="Q54" i="30"/>
  <c r="N54" i="30" s="1"/>
  <c r="U54" i="30"/>
  <c r="R55" i="30"/>
  <c r="G39" i="30"/>
  <c r="F39" i="30" s="1"/>
  <c r="M4" i="19" l="1"/>
  <c r="M16" i="19" s="1"/>
  <c r="M80" i="12" s="1"/>
  <c r="Z55" i="30"/>
  <c r="AE55" i="30"/>
  <c r="AA56" i="30"/>
  <c r="AC57" i="30"/>
  <c r="AF56" i="30"/>
  <c r="AB56" i="30"/>
  <c r="Y56" i="30" s="1"/>
  <c r="O54" i="30"/>
  <c r="T54" i="30"/>
  <c r="U55" i="30"/>
  <c r="Q55" i="30"/>
  <c r="N55" i="30" s="1"/>
  <c r="O55" i="30" s="1"/>
  <c r="R56" i="30"/>
  <c r="P55" i="30"/>
  <c r="G40" i="30"/>
  <c r="F40" i="30" s="1"/>
  <c r="N3" i="19" l="1"/>
  <c r="N15" i="19" s="1"/>
  <c r="N36" i="12" s="1"/>
  <c r="Z56" i="30"/>
  <c r="AE56" i="30"/>
  <c r="AA57" i="30"/>
  <c r="AC58" i="30"/>
  <c r="AF57" i="30"/>
  <c r="AB57" i="30"/>
  <c r="Y57" i="30" s="1"/>
  <c r="P56" i="30"/>
  <c r="T55" i="30"/>
  <c r="Q56" i="30"/>
  <c r="N56" i="30" s="1"/>
  <c r="U56" i="30"/>
  <c r="R57" i="30"/>
  <c r="G41" i="30"/>
  <c r="F41" i="30" s="1"/>
  <c r="N4" i="19" l="1"/>
  <c r="N16" i="19" s="1"/>
  <c r="N80" i="12" s="1"/>
  <c r="Z57" i="30"/>
  <c r="AE57" i="30"/>
  <c r="AA58" i="30"/>
  <c r="AC59" i="30"/>
  <c r="AF58" i="30"/>
  <c r="AB58" i="30"/>
  <c r="Y58" i="30" s="1"/>
  <c r="O56" i="30"/>
  <c r="T56" i="30"/>
  <c r="U57" i="30"/>
  <c r="Q57" i="30"/>
  <c r="N57" i="30" s="1"/>
  <c r="O57" i="30" s="1"/>
  <c r="R58" i="30"/>
  <c r="P57" i="30"/>
  <c r="G42" i="30"/>
  <c r="F42" i="30" s="1"/>
  <c r="Z58" i="30" l="1"/>
  <c r="AE58" i="30"/>
  <c r="AA59" i="30"/>
  <c r="AC60" i="30"/>
  <c r="AF59" i="30"/>
  <c r="AB59" i="30"/>
  <c r="Y59" i="30" s="1"/>
  <c r="P58" i="30"/>
  <c r="T57" i="30"/>
  <c r="Q58" i="30"/>
  <c r="N58" i="30" s="1"/>
  <c r="U58" i="30"/>
  <c r="R59" i="30"/>
  <c r="G43" i="30"/>
  <c r="F43" i="30" s="1"/>
  <c r="Z59" i="30" l="1"/>
  <c r="AE59" i="30"/>
  <c r="AA60" i="30"/>
  <c r="AC61" i="30"/>
  <c r="AF60" i="30"/>
  <c r="AB60" i="30"/>
  <c r="Y60" i="30" s="1"/>
  <c r="O58" i="30"/>
  <c r="T58" i="30"/>
  <c r="U59" i="30"/>
  <c r="Q59" i="30"/>
  <c r="N59" i="30" s="1"/>
  <c r="O59" i="30" s="1"/>
  <c r="R60" i="30"/>
  <c r="P59" i="30"/>
  <c r="G44" i="30"/>
  <c r="F44" i="30" s="1"/>
  <c r="T59" i="30" l="1"/>
  <c r="Z60" i="30"/>
  <c r="AE60" i="30"/>
  <c r="AA61" i="30"/>
  <c r="AC62" i="30"/>
  <c r="AF61" i="30"/>
  <c r="AB61" i="30"/>
  <c r="Y61" i="30" s="1"/>
  <c r="P60" i="30"/>
  <c r="Q60" i="30"/>
  <c r="N60" i="30" s="1"/>
  <c r="U60" i="30"/>
  <c r="R61" i="30"/>
  <c r="G45" i="30"/>
  <c r="F45" i="30" s="1"/>
  <c r="Z61" i="30" l="1"/>
  <c r="AE61" i="30"/>
  <c r="AA62" i="30"/>
  <c r="AC63" i="30"/>
  <c r="AF62" i="30"/>
  <c r="AB62" i="30"/>
  <c r="Y62" i="30" s="1"/>
  <c r="O60" i="30"/>
  <c r="T60" i="30"/>
  <c r="R62" i="30"/>
  <c r="U61" i="30"/>
  <c r="Q61" i="30"/>
  <c r="N61" i="30" s="1"/>
  <c r="O61" i="30" s="1"/>
  <c r="P61" i="30"/>
  <c r="G46" i="30"/>
  <c r="F46" i="30" s="1"/>
  <c r="Z62" i="30" l="1"/>
  <c r="AE62" i="30"/>
  <c r="AA63" i="30"/>
  <c r="AC64" i="30"/>
  <c r="AF63" i="30"/>
  <c r="AB63" i="30"/>
  <c r="Y63" i="30" s="1"/>
  <c r="P62" i="30"/>
  <c r="Q62" i="30"/>
  <c r="U62" i="30"/>
  <c r="R63" i="30"/>
  <c r="T61" i="30"/>
  <c r="G47" i="30"/>
  <c r="F47" i="30" s="1"/>
  <c r="N62" i="30" l="1"/>
  <c r="O62" i="30" s="1"/>
  <c r="Z63" i="30"/>
  <c r="AE63" i="30"/>
  <c r="AA64" i="30"/>
  <c r="AC65" i="30"/>
  <c r="AF64" i="30"/>
  <c r="AB64" i="30"/>
  <c r="Y64" i="30" s="1"/>
  <c r="R64" i="30"/>
  <c r="U63" i="30"/>
  <c r="Q63" i="30"/>
  <c r="N63" i="30" s="1"/>
  <c r="O63" i="30" s="1"/>
  <c r="P63" i="30"/>
  <c r="G48" i="30"/>
  <c r="F48" i="30" s="1"/>
  <c r="G81" i="12"/>
  <c r="H81" i="12" s="1"/>
  <c r="I81" i="12" s="1"/>
  <c r="J81" i="12" s="1"/>
  <c r="K81" i="12" s="1"/>
  <c r="L81" i="12" s="1"/>
  <c r="M81" i="12" s="1"/>
  <c r="N81" i="12" s="1"/>
  <c r="T62" i="30" l="1"/>
  <c r="T63" i="30" s="1"/>
  <c r="Z64" i="30"/>
  <c r="AE64" i="30"/>
  <c r="AA65" i="30"/>
  <c r="AC66" i="30"/>
  <c r="AF65" i="30"/>
  <c r="AB65" i="30"/>
  <c r="Y65" i="30" s="1"/>
  <c r="P64" i="30"/>
  <c r="Q64" i="30"/>
  <c r="N64" i="30" s="1"/>
  <c r="U64" i="30"/>
  <c r="R65" i="30"/>
  <c r="G49" i="30"/>
  <c r="F49" i="30" s="1"/>
  <c r="Z65" i="30" l="1"/>
  <c r="AE65" i="30"/>
  <c r="AA66" i="30"/>
  <c r="AC67" i="30"/>
  <c r="AF66" i="30"/>
  <c r="AB66" i="30"/>
  <c r="Y66" i="30" s="1"/>
  <c r="O64" i="30"/>
  <c r="T64" i="30"/>
  <c r="R66" i="30"/>
  <c r="U65" i="30"/>
  <c r="Q65" i="30"/>
  <c r="N65" i="30" s="1"/>
  <c r="O65" i="30" s="1"/>
  <c r="P65" i="30"/>
  <c r="G50" i="30"/>
  <c r="F50" i="30" s="1"/>
  <c r="Z66" i="30" l="1"/>
  <c r="AE66" i="30"/>
  <c r="AA67" i="30"/>
  <c r="AC68" i="30"/>
  <c r="AF67" i="30"/>
  <c r="AB67" i="30"/>
  <c r="Y67" i="30" s="1"/>
  <c r="T65" i="30"/>
  <c r="Q66" i="30"/>
  <c r="N66" i="30" s="1"/>
  <c r="U66" i="30"/>
  <c r="R67" i="30"/>
  <c r="P66" i="30"/>
  <c r="G51" i="30"/>
  <c r="F51" i="30" s="1"/>
  <c r="Z67" i="30" l="1"/>
  <c r="AE67" i="30"/>
  <c r="AA68" i="30"/>
  <c r="AC69" i="30"/>
  <c r="AF68" i="30"/>
  <c r="AB68" i="30"/>
  <c r="Y68" i="30" s="1"/>
  <c r="O66" i="30"/>
  <c r="T66" i="30"/>
  <c r="P67" i="30"/>
  <c r="R68" i="30"/>
  <c r="U67" i="30"/>
  <c r="Q67" i="30"/>
  <c r="G52" i="30"/>
  <c r="F52" i="30" s="1"/>
  <c r="F76" i="12"/>
  <c r="G75" i="12" l="1"/>
  <c r="N67" i="30"/>
  <c r="O67" i="30" s="1"/>
  <c r="Z68" i="30"/>
  <c r="AE68" i="30"/>
  <c r="AA69" i="30"/>
  <c r="AC70" i="30"/>
  <c r="AF69" i="30"/>
  <c r="AB69" i="30"/>
  <c r="Y69" i="30" s="1"/>
  <c r="P68" i="30"/>
  <c r="Q68" i="30"/>
  <c r="N68" i="30" s="1"/>
  <c r="U68" i="30"/>
  <c r="R69" i="30"/>
  <c r="G53" i="30"/>
  <c r="F53" i="30" s="1"/>
  <c r="G76" i="12"/>
  <c r="G59" i="12" l="1"/>
  <c r="H75" i="12"/>
  <c r="O68" i="30"/>
  <c r="T67" i="30"/>
  <c r="T68" i="30" s="1"/>
  <c r="Z69" i="30"/>
  <c r="AE69" i="30"/>
  <c r="AA70" i="30"/>
  <c r="AC71" i="30"/>
  <c r="AF70" i="30"/>
  <c r="AB70" i="30"/>
  <c r="Y70" i="30" s="1"/>
  <c r="P69" i="30"/>
  <c r="R70" i="30"/>
  <c r="U69" i="30"/>
  <c r="Q69" i="30"/>
  <c r="N69" i="30" s="1"/>
  <c r="G54" i="30"/>
  <c r="F54" i="30" s="1"/>
  <c r="H76" i="12"/>
  <c r="H59" i="12" s="1"/>
  <c r="H58" i="12" l="1"/>
  <c r="I75" i="12"/>
  <c r="I58" i="12" s="1"/>
  <c r="Z70" i="30"/>
  <c r="AE70" i="30"/>
  <c r="AA71" i="30"/>
  <c r="AC72" i="30"/>
  <c r="AF71" i="30"/>
  <c r="AB71" i="30"/>
  <c r="Y71" i="30" s="1"/>
  <c r="O69" i="30"/>
  <c r="T69" i="30"/>
  <c r="Q70" i="30"/>
  <c r="N70" i="30" s="1"/>
  <c r="U70" i="30"/>
  <c r="R71" i="30"/>
  <c r="P70" i="30"/>
  <c r="G55" i="30"/>
  <c r="F55" i="30" s="1"/>
  <c r="I76" i="12"/>
  <c r="I59" i="12" l="1"/>
  <c r="J75" i="12"/>
  <c r="Z71" i="30"/>
  <c r="AE71" i="30"/>
  <c r="AA72" i="30"/>
  <c r="AC73" i="30"/>
  <c r="AF72" i="30"/>
  <c r="AB72" i="30"/>
  <c r="Y72" i="30" s="1"/>
  <c r="O70" i="30"/>
  <c r="T70" i="30"/>
  <c r="P71" i="30"/>
  <c r="R72" i="30"/>
  <c r="U71" i="30"/>
  <c r="Q71" i="30"/>
  <c r="G56" i="30"/>
  <c r="F56" i="30" s="1"/>
  <c r="J76" i="12"/>
  <c r="J59" i="12" l="1"/>
  <c r="J58" i="12"/>
  <c r="K75" i="12"/>
  <c r="N71" i="30"/>
  <c r="O71" i="30" s="1"/>
  <c r="Z72" i="30"/>
  <c r="AE72" i="30"/>
  <c r="AA73" i="30"/>
  <c r="AC74" i="30"/>
  <c r="AF73" i="30"/>
  <c r="AB73" i="30"/>
  <c r="Y73" i="30" s="1"/>
  <c r="P72" i="30"/>
  <c r="Q72" i="30"/>
  <c r="N72" i="30" s="1"/>
  <c r="O72" i="30" s="1"/>
  <c r="U72" i="30"/>
  <c r="R73" i="30"/>
  <c r="G57" i="30"/>
  <c r="F57" i="30" s="1"/>
  <c r="K76" i="12"/>
  <c r="L76" i="12"/>
  <c r="L59" i="12" l="1"/>
  <c r="K59" i="12"/>
  <c r="K58" i="12"/>
  <c r="M75" i="12"/>
  <c r="L75" i="12"/>
  <c r="L58" i="12" s="1"/>
  <c r="T71" i="30"/>
  <c r="T72" i="30" s="1"/>
  <c r="Z73" i="30"/>
  <c r="AE73" i="30"/>
  <c r="AA74" i="30"/>
  <c r="AC75" i="30"/>
  <c r="AF74" i="30"/>
  <c r="AB74" i="30"/>
  <c r="Y74" i="30" s="1"/>
  <c r="R74" i="30"/>
  <c r="U73" i="30"/>
  <c r="Q73" i="30"/>
  <c r="N73" i="30" s="1"/>
  <c r="P73" i="30"/>
  <c r="G58" i="30"/>
  <c r="F58" i="30" s="1"/>
  <c r="M58" i="12" l="1"/>
  <c r="Z74" i="30"/>
  <c r="AE74" i="30"/>
  <c r="AA75" i="30"/>
  <c r="AC76" i="30"/>
  <c r="AB75" i="30"/>
  <c r="Y75" i="30" s="1"/>
  <c r="Z75" i="30" s="1"/>
  <c r="AF75" i="30"/>
  <c r="O73" i="30"/>
  <c r="T73" i="30"/>
  <c r="Q74" i="30"/>
  <c r="N74" i="30" s="1"/>
  <c r="U74" i="30"/>
  <c r="R75" i="30"/>
  <c r="P74" i="30"/>
  <c r="G59" i="30"/>
  <c r="F59" i="30" s="1"/>
  <c r="O19" i="12" l="1"/>
  <c r="N76" i="12" s="1"/>
  <c r="M76" i="12"/>
  <c r="N75" i="12"/>
  <c r="N58" i="12" s="1"/>
  <c r="O74" i="30"/>
  <c r="AE75" i="30"/>
  <c r="AA76" i="30"/>
  <c r="AC77" i="30"/>
  <c r="AB76" i="30"/>
  <c r="Y76" i="30" s="1"/>
  <c r="Z76" i="30" s="1"/>
  <c r="AF76" i="30"/>
  <c r="T74" i="30"/>
  <c r="P75" i="30"/>
  <c r="R76" i="30"/>
  <c r="U75" i="30"/>
  <c r="Q75" i="30"/>
  <c r="N75" i="30" s="1"/>
  <c r="G60" i="30"/>
  <c r="F60" i="30" s="1"/>
  <c r="F4" i="12"/>
  <c r="G4" i="12" s="1"/>
  <c r="H4" i="12" s="1"/>
  <c r="I4" i="12" s="1"/>
  <c r="J4" i="12" s="1"/>
  <c r="K4" i="12" s="1"/>
  <c r="L4" i="12" s="1"/>
  <c r="M4" i="12" s="1"/>
  <c r="N4" i="12" s="1"/>
  <c r="N59" i="12" l="1"/>
  <c r="M59" i="12"/>
  <c r="M7" i="35"/>
  <c r="AE76" i="30"/>
  <c r="AC78" i="30"/>
  <c r="AB77" i="30"/>
  <c r="Y77" i="30" s="1"/>
  <c r="AF77" i="30"/>
  <c r="AA77" i="30"/>
  <c r="O75" i="30"/>
  <c r="T75" i="30"/>
  <c r="P76" i="30"/>
  <c r="Q76" i="30"/>
  <c r="N76" i="30" s="1"/>
  <c r="O76" i="30" s="1"/>
  <c r="U76" i="30"/>
  <c r="R77" i="30"/>
  <c r="G61" i="30"/>
  <c r="F61" i="30" s="1"/>
  <c r="T76" i="30" l="1"/>
  <c r="Z77" i="30"/>
  <c r="AE77" i="30"/>
  <c r="AA78" i="30"/>
  <c r="AC79" i="30"/>
  <c r="AB78" i="30"/>
  <c r="Y78" i="30" s="1"/>
  <c r="Z78" i="30" s="1"/>
  <c r="AF78" i="30"/>
  <c r="R78" i="30"/>
  <c r="U77" i="30"/>
  <c r="Q77" i="30"/>
  <c r="N77" i="30" s="1"/>
  <c r="P77" i="30"/>
  <c r="G62" i="30"/>
  <c r="F62" i="30" s="1"/>
  <c r="AE78" i="30" l="1"/>
  <c r="AA79" i="30"/>
  <c r="AC80" i="30"/>
  <c r="AB79" i="30"/>
  <c r="Y79" i="30" s="1"/>
  <c r="Z79" i="30" s="1"/>
  <c r="AF79" i="30"/>
  <c r="O77" i="30"/>
  <c r="T77" i="30"/>
  <c r="Q78" i="30"/>
  <c r="N78" i="30" s="1"/>
  <c r="U78" i="30"/>
  <c r="R79" i="30"/>
  <c r="P78" i="30"/>
  <c r="G63" i="30"/>
  <c r="F63" i="30" s="1"/>
  <c r="E84" i="12"/>
  <c r="AE79" i="30" l="1"/>
  <c r="AC81" i="30"/>
  <c r="AB80" i="30"/>
  <c r="Y80" i="30" s="1"/>
  <c r="AF80" i="30"/>
  <c r="AA80" i="30"/>
  <c r="O78" i="30"/>
  <c r="T78" i="30"/>
  <c r="P79" i="30"/>
  <c r="R80" i="30"/>
  <c r="U79" i="30"/>
  <c r="Q79" i="30"/>
  <c r="G64" i="30"/>
  <c r="F64" i="30" s="1"/>
  <c r="F84" i="12"/>
  <c r="N79" i="30" l="1"/>
  <c r="O79" i="30" s="1"/>
  <c r="Z80" i="30"/>
  <c r="AE80" i="30"/>
  <c r="AA81" i="30"/>
  <c r="AC82" i="30"/>
  <c r="AB81" i="30"/>
  <c r="Y81" i="30" s="1"/>
  <c r="AF81" i="30"/>
  <c r="Q80" i="30"/>
  <c r="N80" i="30" s="1"/>
  <c r="U80" i="30"/>
  <c r="R81" i="30"/>
  <c r="P80" i="30"/>
  <c r="G65" i="30"/>
  <c r="F65" i="30" s="1"/>
  <c r="Z81" i="30" l="1"/>
  <c r="AE81" i="30"/>
  <c r="T79" i="30"/>
  <c r="T80" i="30" s="1"/>
  <c r="AA82" i="30"/>
  <c r="AC83" i="30"/>
  <c r="AB82" i="30"/>
  <c r="Y82" i="30" s="1"/>
  <c r="AF82" i="30"/>
  <c r="O80" i="30"/>
  <c r="P81" i="30"/>
  <c r="R82" i="30"/>
  <c r="U81" i="30"/>
  <c r="Q81" i="30"/>
  <c r="N81" i="30" s="1"/>
  <c r="G66" i="30"/>
  <c r="F66" i="30" s="1"/>
  <c r="O81" i="30" l="1"/>
  <c r="Z82" i="30"/>
  <c r="AE82" i="30"/>
  <c r="AA83" i="30"/>
  <c r="AF83" i="30"/>
  <c r="AC84" i="30"/>
  <c r="AB83" i="30"/>
  <c r="T81" i="30"/>
  <c r="P82" i="30"/>
  <c r="R83" i="30"/>
  <c r="Q82" i="30"/>
  <c r="N82" i="30" s="1"/>
  <c r="U82" i="30"/>
  <c r="G67" i="30"/>
  <c r="F67" i="30" s="1"/>
  <c r="Y83" i="30" l="1"/>
  <c r="AE83" i="30" s="1"/>
  <c r="AF84" i="30"/>
  <c r="AC85" i="30"/>
  <c r="AB84" i="30"/>
  <c r="Y84" i="30" s="1"/>
  <c r="Z84" i="30" s="1"/>
  <c r="AA84" i="30"/>
  <c r="O82" i="30"/>
  <c r="T82" i="30"/>
  <c r="P83" i="30"/>
  <c r="U83" i="30"/>
  <c r="R84" i="30"/>
  <c r="Q83" i="30"/>
  <c r="N83" i="30" s="1"/>
  <c r="G68" i="30"/>
  <c r="F68" i="30" s="1"/>
  <c r="G84" i="12"/>
  <c r="Z83" i="30" l="1"/>
  <c r="AA85" i="30"/>
  <c r="AF85" i="30"/>
  <c r="AC86" i="30"/>
  <c r="AB85" i="30"/>
  <c r="Y85" i="30" s="1"/>
  <c r="AE84" i="30"/>
  <c r="O83" i="30"/>
  <c r="T83" i="30"/>
  <c r="U84" i="30"/>
  <c r="R85" i="30"/>
  <c r="Q84" i="30"/>
  <c r="N84" i="30" s="1"/>
  <c r="O84" i="30" s="1"/>
  <c r="P84" i="30"/>
  <c r="G69" i="30"/>
  <c r="F69" i="30" s="1"/>
  <c r="H84" i="12"/>
  <c r="Z85" i="30" l="1"/>
  <c r="AE85" i="30"/>
  <c r="AF86" i="30"/>
  <c r="AC87" i="30"/>
  <c r="AB86" i="30"/>
  <c r="Y86" i="30" s="1"/>
  <c r="Z86" i="30" s="1"/>
  <c r="AA86" i="30"/>
  <c r="T84" i="30"/>
  <c r="P85" i="30"/>
  <c r="U85" i="30"/>
  <c r="R86" i="30"/>
  <c r="Q85" i="30"/>
  <c r="N85" i="30" s="1"/>
  <c r="G70" i="30"/>
  <c r="F70" i="30" s="1"/>
  <c r="I84" i="12"/>
  <c r="AE86" i="30" l="1"/>
  <c r="AA87" i="30"/>
  <c r="AF87" i="30"/>
  <c r="AC88" i="30"/>
  <c r="AB87" i="30"/>
  <c r="Y87" i="30" s="1"/>
  <c r="O85" i="30"/>
  <c r="T85" i="30"/>
  <c r="P86" i="30"/>
  <c r="U86" i="30"/>
  <c r="R87" i="30"/>
  <c r="Q86" i="30"/>
  <c r="N86" i="30" s="1"/>
  <c r="G71" i="30"/>
  <c r="F71" i="30" s="1"/>
  <c r="J84" i="12"/>
  <c r="Z87" i="30" l="1"/>
  <c r="AE87" i="30"/>
  <c r="AF88" i="30"/>
  <c r="AC89" i="30"/>
  <c r="AB88" i="30"/>
  <c r="Y88" i="30" s="1"/>
  <c r="Z88" i="30" s="1"/>
  <c r="AA88" i="30"/>
  <c r="O86" i="30"/>
  <c r="T86" i="30"/>
  <c r="P87" i="30"/>
  <c r="U87" i="30"/>
  <c r="R88" i="30"/>
  <c r="Q87" i="30"/>
  <c r="N87" i="30" s="1"/>
  <c r="G72" i="30"/>
  <c r="F72" i="30" s="1"/>
  <c r="AA89" i="30" l="1"/>
  <c r="AE88" i="30"/>
  <c r="AF89" i="30"/>
  <c r="AC90" i="30"/>
  <c r="AB89" i="30"/>
  <c r="Y89" i="30" s="1"/>
  <c r="O87" i="30"/>
  <c r="T87" i="30"/>
  <c r="U88" i="30"/>
  <c r="R89" i="30"/>
  <c r="Q88" i="30"/>
  <c r="N88" i="30" s="1"/>
  <c r="O88" i="30" s="1"/>
  <c r="P88" i="30"/>
  <c r="G73" i="30"/>
  <c r="F73" i="30" s="1"/>
  <c r="K84" i="12"/>
  <c r="AE89" i="30" l="1"/>
  <c r="Z89" i="30"/>
  <c r="AF90" i="30"/>
  <c r="AC91" i="30"/>
  <c r="AB90" i="30"/>
  <c r="Y90" i="30" s="1"/>
  <c r="AA90" i="30"/>
  <c r="T88" i="30"/>
  <c r="P89" i="30"/>
  <c r="U89" i="30"/>
  <c r="R90" i="30"/>
  <c r="Q89" i="30"/>
  <c r="N89" i="30" s="1"/>
  <c r="G74" i="30"/>
  <c r="F74" i="30" s="1"/>
  <c r="L84" i="12"/>
  <c r="Z90" i="30" l="1"/>
  <c r="AE90" i="30"/>
  <c r="AF91" i="30"/>
  <c r="AC92" i="30"/>
  <c r="AB91" i="30"/>
  <c r="Y91" i="30" s="1"/>
  <c r="Z91" i="30" s="1"/>
  <c r="AA91" i="30"/>
  <c r="O89" i="30"/>
  <c r="T89" i="30"/>
  <c r="U90" i="30"/>
  <c r="R91" i="30"/>
  <c r="Q90" i="30"/>
  <c r="N90" i="30" s="1"/>
  <c r="O90" i="30" s="1"/>
  <c r="P90" i="30"/>
  <c r="G75" i="30"/>
  <c r="F75" i="30" s="1"/>
  <c r="AE91" i="30" l="1"/>
  <c r="AA92" i="30"/>
  <c r="AF92" i="30"/>
  <c r="AC93" i="30"/>
  <c r="AB92" i="30"/>
  <c r="Y92" i="30" s="1"/>
  <c r="T90" i="30"/>
  <c r="P91" i="30"/>
  <c r="U91" i="30"/>
  <c r="R92" i="30"/>
  <c r="Q91" i="30"/>
  <c r="N91" i="30" s="1"/>
  <c r="G76" i="30"/>
  <c r="F76" i="30" s="1"/>
  <c r="M84" i="12"/>
  <c r="Z92" i="30" l="1"/>
  <c r="AE92" i="30"/>
  <c r="AA93" i="30"/>
  <c r="AF93" i="30"/>
  <c r="AC94" i="30"/>
  <c r="AB93" i="30"/>
  <c r="O91" i="30"/>
  <c r="T91" i="30"/>
  <c r="U92" i="30"/>
  <c r="R93" i="30"/>
  <c r="Q92" i="30"/>
  <c r="N92" i="30" s="1"/>
  <c r="O92" i="30" s="1"/>
  <c r="P92" i="30"/>
  <c r="G77" i="30"/>
  <c r="F77" i="30" s="1"/>
  <c r="Y93" i="30" l="1"/>
  <c r="Z93" i="30" s="1"/>
  <c r="AF94" i="30"/>
  <c r="AC95" i="30"/>
  <c r="AB94" i="30"/>
  <c r="Y94" i="30" s="1"/>
  <c r="Z94" i="30" s="1"/>
  <c r="AA94" i="30"/>
  <c r="P93" i="30"/>
  <c r="T92" i="30"/>
  <c r="U93" i="30"/>
  <c r="R94" i="30"/>
  <c r="Q93" i="30"/>
  <c r="N93" i="30" s="1"/>
  <c r="G78" i="30"/>
  <c r="F78" i="30" s="1"/>
  <c r="N84" i="12"/>
  <c r="M9" i="35" s="1"/>
  <c r="T93" i="30" l="1"/>
  <c r="O93" i="30"/>
  <c r="AE93" i="30"/>
  <c r="AE94" i="30" s="1"/>
  <c r="AF95" i="30"/>
  <c r="AC96" i="30"/>
  <c r="AB95" i="30"/>
  <c r="Y95" i="30" s="1"/>
  <c r="AA95" i="30"/>
  <c r="U94" i="30"/>
  <c r="R95" i="30"/>
  <c r="Q94" i="30"/>
  <c r="N94" i="30" s="1"/>
  <c r="P94" i="30"/>
  <c r="G79" i="30"/>
  <c r="F79" i="30" s="1"/>
  <c r="Z95" i="30" l="1"/>
  <c r="AE95" i="30"/>
  <c r="AA96" i="30"/>
  <c r="AF96" i="30"/>
  <c r="AC97" i="30"/>
  <c r="AB96" i="30"/>
  <c r="O94" i="30"/>
  <c r="T94" i="30"/>
  <c r="U95" i="30"/>
  <c r="R96" i="30"/>
  <c r="Q95" i="30"/>
  <c r="N95" i="30" s="1"/>
  <c r="O95" i="30" s="1"/>
  <c r="P95" i="30"/>
  <c r="G80" i="30"/>
  <c r="F80" i="30" s="1"/>
  <c r="Y96" i="30" l="1"/>
  <c r="Z96" i="30" s="1"/>
  <c r="AA97" i="30"/>
  <c r="AF97" i="30"/>
  <c r="AC98" i="30"/>
  <c r="AB97" i="30"/>
  <c r="Y97" i="30" s="1"/>
  <c r="T95" i="30"/>
  <c r="P96" i="30"/>
  <c r="U96" i="30"/>
  <c r="R97" i="30"/>
  <c r="Q96" i="30"/>
  <c r="N96" i="30" s="1"/>
  <c r="G81" i="30"/>
  <c r="F81" i="30" s="1"/>
  <c r="E76" i="12"/>
  <c r="D24" i="33" s="1"/>
  <c r="P24" i="33" s="1"/>
  <c r="E19" i="12"/>
  <c r="C31" i="12" s="1"/>
  <c r="F59" i="12" l="1"/>
  <c r="E59" i="12"/>
  <c r="F75" i="12"/>
  <c r="G58" i="12" s="1"/>
  <c r="P4" i="33"/>
  <c r="F4" i="33" s="1"/>
  <c r="G35" i="12"/>
  <c r="G39" i="12" s="1"/>
  <c r="AE96" i="30"/>
  <c r="AE97" i="30" s="1"/>
  <c r="Z97" i="30"/>
  <c r="AA98" i="30"/>
  <c r="AF98" i="30"/>
  <c r="AC99" i="30"/>
  <c r="AB98" i="30"/>
  <c r="Y98" i="30" s="1"/>
  <c r="O96" i="30"/>
  <c r="T96" i="30"/>
  <c r="U97" i="30"/>
  <c r="R98" i="30"/>
  <c r="Q97" i="30"/>
  <c r="N97" i="30" s="1"/>
  <c r="O97" i="30" s="1"/>
  <c r="P97" i="30"/>
  <c r="G82" i="30"/>
  <c r="F82" i="30" s="1"/>
  <c r="M4" i="33" l="1"/>
  <c r="M5" i="33" s="1"/>
  <c r="M16" i="33" s="1"/>
  <c r="L4" i="33"/>
  <c r="L5" i="33" s="1"/>
  <c r="L16" i="33" s="1"/>
  <c r="O4" i="33"/>
  <c r="O5" i="33" s="1"/>
  <c r="O16" i="33" s="1"/>
  <c r="I4" i="33"/>
  <c r="I5" i="33" s="1"/>
  <c r="I16" i="33" s="1"/>
  <c r="H4" i="33"/>
  <c r="H5" i="33" s="1"/>
  <c r="H16" i="33" s="1"/>
  <c r="N4" i="33"/>
  <c r="N5" i="33" s="1"/>
  <c r="N16" i="33" s="1"/>
  <c r="K4" i="33"/>
  <c r="K5" i="33" s="1"/>
  <c r="K16" i="33" s="1"/>
  <c r="E4" i="33"/>
  <c r="E5" i="33" s="1"/>
  <c r="E16" i="33" s="1"/>
  <c r="J4" i="33"/>
  <c r="J5" i="33" s="1"/>
  <c r="J16" i="33" s="1"/>
  <c r="G4" i="33"/>
  <c r="G5" i="33" s="1"/>
  <c r="G16" i="33" s="1"/>
  <c r="D4" i="33"/>
  <c r="D5" i="33" s="1"/>
  <c r="F5" i="33"/>
  <c r="F16" i="33" s="1"/>
  <c r="F46" i="12"/>
  <c r="Z98" i="30"/>
  <c r="AE98" i="30"/>
  <c r="AA99" i="30"/>
  <c r="AF99" i="30"/>
  <c r="AC100" i="30"/>
  <c r="AB99" i="30"/>
  <c r="Y99" i="30" s="1"/>
  <c r="T97" i="30"/>
  <c r="P98" i="30"/>
  <c r="U98" i="30"/>
  <c r="R99" i="30"/>
  <c r="Q98" i="30"/>
  <c r="N98" i="30" s="1"/>
  <c r="G83" i="30"/>
  <c r="F83" i="30" s="1"/>
  <c r="H35" i="12"/>
  <c r="H39" i="12" s="1"/>
  <c r="G46" i="12"/>
  <c r="E46" i="12"/>
  <c r="P12" i="33" s="1"/>
  <c r="Q4" i="33" l="1"/>
  <c r="D12" i="33"/>
  <c r="H12" i="33"/>
  <c r="H25" i="33" s="1"/>
  <c r="L12" i="33"/>
  <c r="L25" i="33" s="1"/>
  <c r="E12" i="33"/>
  <c r="E25" i="33" s="1"/>
  <c r="I12" i="33"/>
  <c r="I25" i="33" s="1"/>
  <c r="M12" i="33"/>
  <c r="M25" i="33" s="1"/>
  <c r="F12" i="33"/>
  <c r="F25" i="33" s="1"/>
  <c r="J12" i="33"/>
  <c r="J25" i="33" s="1"/>
  <c r="N12" i="33"/>
  <c r="N25" i="33" s="1"/>
  <c r="G12" i="33"/>
  <c r="G25" i="33" s="1"/>
  <c r="K12" i="33"/>
  <c r="K25" i="33" s="1"/>
  <c r="O12" i="33"/>
  <c r="O25" i="33" s="1"/>
  <c r="M6" i="33"/>
  <c r="H6" i="33"/>
  <c r="N6" i="33"/>
  <c r="I6" i="33"/>
  <c r="O6" i="33"/>
  <c r="L6" i="33"/>
  <c r="F6" i="33"/>
  <c r="G6" i="33"/>
  <c r="J6" i="33"/>
  <c r="K6" i="33"/>
  <c r="P5" i="33"/>
  <c r="D16" i="33"/>
  <c r="D6" i="33"/>
  <c r="E6" i="33"/>
  <c r="Z99" i="30"/>
  <c r="AE99" i="30"/>
  <c r="AF100" i="30"/>
  <c r="AC101" i="30"/>
  <c r="AB100" i="30"/>
  <c r="Y100" i="30" s="1"/>
  <c r="Z100" i="30" s="1"/>
  <c r="AA100" i="30"/>
  <c r="O98" i="30"/>
  <c r="T98" i="30"/>
  <c r="U99" i="30"/>
  <c r="R100" i="30"/>
  <c r="Q99" i="30"/>
  <c r="N99" i="30" s="1"/>
  <c r="O99" i="30" s="1"/>
  <c r="P99" i="30"/>
  <c r="G84" i="30"/>
  <c r="F84" i="30" s="1"/>
  <c r="I35" i="12"/>
  <c r="I39" i="12" s="1"/>
  <c r="H46" i="12"/>
  <c r="H7" i="33" l="1"/>
  <c r="H17" i="33" s="1"/>
  <c r="J7" i="33"/>
  <c r="J17" i="33" s="1"/>
  <c r="G7" i="33"/>
  <c r="G17" i="33" s="1"/>
  <c r="O7" i="33"/>
  <c r="O17" i="33" s="1"/>
  <c r="F7" i="33"/>
  <c r="F17" i="33" s="1"/>
  <c r="L7" i="33"/>
  <c r="L17" i="33" s="1"/>
  <c r="Q12" i="33"/>
  <c r="D25" i="33"/>
  <c r="P25" i="33" s="1"/>
  <c r="M7" i="33"/>
  <c r="M17" i="33" s="1"/>
  <c r="K7" i="33"/>
  <c r="K17" i="33" s="1"/>
  <c r="I7" i="33"/>
  <c r="I17" i="33" s="1"/>
  <c r="N7" i="33"/>
  <c r="N17" i="33" s="1"/>
  <c r="P6" i="33"/>
  <c r="E7" i="33"/>
  <c r="P16" i="33"/>
  <c r="AF101" i="30"/>
  <c r="AC102" i="30"/>
  <c r="AB101" i="30"/>
  <c r="Y101" i="30" s="1"/>
  <c r="AE100" i="30"/>
  <c r="AA101" i="30"/>
  <c r="T99" i="30"/>
  <c r="P100" i="30"/>
  <c r="U100" i="30"/>
  <c r="R101" i="30"/>
  <c r="Q100" i="30"/>
  <c r="N100" i="30" s="1"/>
  <c r="G85" i="30"/>
  <c r="F85" i="30" s="1"/>
  <c r="J35" i="12"/>
  <c r="J39" i="12" s="1"/>
  <c r="I46" i="12"/>
  <c r="E11" i="33" l="1"/>
  <c r="E17" i="33"/>
  <c r="P17" i="33" s="1"/>
  <c r="P7" i="33"/>
  <c r="Q7" i="33" s="1"/>
  <c r="E75" i="12" s="1"/>
  <c r="F58" i="12" s="1"/>
  <c r="Z101" i="30"/>
  <c r="AE101" i="30"/>
  <c r="AA102" i="30"/>
  <c r="AF102" i="30"/>
  <c r="AC103" i="30"/>
  <c r="AB102" i="30"/>
  <c r="O100" i="30"/>
  <c r="T100" i="30"/>
  <c r="U101" i="30"/>
  <c r="R102" i="30"/>
  <c r="Q101" i="30"/>
  <c r="N101" i="30" s="1"/>
  <c r="O101" i="30" s="1"/>
  <c r="P101" i="30"/>
  <c r="G86" i="30"/>
  <c r="F86" i="30" s="1"/>
  <c r="K35" i="12"/>
  <c r="K39" i="12" s="1"/>
  <c r="J46" i="12"/>
  <c r="E58" i="12" l="1"/>
  <c r="E23" i="33"/>
  <c r="Y102" i="30"/>
  <c r="Z102" i="30" s="1"/>
  <c r="AA103" i="30"/>
  <c r="AF103" i="30"/>
  <c r="AC104" i="30"/>
  <c r="AB103" i="30"/>
  <c r="Y103" i="30" s="1"/>
  <c r="T101" i="30"/>
  <c r="P102" i="30"/>
  <c r="U102" i="30"/>
  <c r="R103" i="30"/>
  <c r="Q102" i="30"/>
  <c r="N102" i="30" s="1"/>
  <c r="G87" i="30"/>
  <c r="F87" i="30" s="1"/>
  <c r="L35" i="12"/>
  <c r="L39" i="12" s="1"/>
  <c r="K46" i="12"/>
  <c r="AE102" i="30" l="1"/>
  <c r="AE103" i="30" s="1"/>
  <c r="Z103" i="30"/>
  <c r="AA104" i="30"/>
  <c r="AF104" i="30"/>
  <c r="AC105" i="30"/>
  <c r="AB104" i="30"/>
  <c r="Y104" i="30" s="1"/>
  <c r="O102" i="30"/>
  <c r="T102" i="30"/>
  <c r="P103" i="30"/>
  <c r="U103" i="30"/>
  <c r="R104" i="30"/>
  <c r="Q103" i="30"/>
  <c r="N103" i="30" s="1"/>
  <c r="G88" i="30"/>
  <c r="F88" i="30" s="1"/>
  <c r="M35" i="12"/>
  <c r="M39" i="12" s="1"/>
  <c r="L46" i="12"/>
  <c r="O103" i="30" l="1"/>
  <c r="Z104" i="30"/>
  <c r="AE104" i="30"/>
  <c r="AF105" i="30"/>
  <c r="AC106" i="30"/>
  <c r="AB105" i="30"/>
  <c r="Y105" i="30" s="1"/>
  <c r="Z105" i="30" s="1"/>
  <c r="AA105" i="30"/>
  <c r="T103" i="30"/>
  <c r="U104" i="30"/>
  <c r="R105" i="30"/>
  <c r="Q104" i="30"/>
  <c r="N104" i="30" s="1"/>
  <c r="P104" i="30"/>
  <c r="G89" i="30"/>
  <c r="F89" i="30" s="1"/>
  <c r="N35" i="12"/>
  <c r="N39" i="12" s="1"/>
  <c r="M46" i="12"/>
  <c r="T104" i="30" l="1"/>
  <c r="O104" i="30"/>
  <c r="AA106" i="30"/>
  <c r="AE105" i="30"/>
  <c r="AF106" i="30"/>
  <c r="AC107" i="30"/>
  <c r="AB106" i="30"/>
  <c r="U105" i="30"/>
  <c r="R106" i="30"/>
  <c r="Q105" i="30"/>
  <c r="N105" i="30" s="1"/>
  <c r="P105" i="30"/>
  <c r="G90" i="30"/>
  <c r="F90" i="30" s="1"/>
  <c r="Y106" i="30" l="1"/>
  <c r="AE106" i="30" s="1"/>
  <c r="AF107" i="30"/>
  <c r="AC108" i="30"/>
  <c r="AB107" i="30"/>
  <c r="Y107" i="30" s="1"/>
  <c r="AA107" i="30"/>
  <c r="O105" i="30"/>
  <c r="T105" i="30"/>
  <c r="U106" i="30"/>
  <c r="R107" i="30"/>
  <c r="Q106" i="30"/>
  <c r="N106" i="30" s="1"/>
  <c r="O106" i="30" s="1"/>
  <c r="P106" i="30"/>
  <c r="G91" i="30"/>
  <c r="F91" i="30" s="1"/>
  <c r="N46" i="12"/>
  <c r="Z106" i="30" l="1"/>
  <c r="Z107" i="30"/>
  <c r="AE107" i="30"/>
  <c r="AF108" i="30"/>
  <c r="AC109" i="30"/>
  <c r="AB108" i="30"/>
  <c r="Y108" i="30" s="1"/>
  <c r="Z108" i="30" s="1"/>
  <c r="AA108" i="30"/>
  <c r="P107" i="30"/>
  <c r="T106" i="30"/>
  <c r="U107" i="30"/>
  <c r="R108" i="30"/>
  <c r="Q107" i="30"/>
  <c r="G92" i="30"/>
  <c r="F92" i="30" s="1"/>
  <c r="N107" i="30" l="1"/>
  <c r="O107" i="30" s="1"/>
  <c r="AA109" i="30"/>
  <c r="AE108" i="30"/>
  <c r="AF109" i="30"/>
  <c r="AC110" i="30"/>
  <c r="AB109" i="30"/>
  <c r="U108" i="30"/>
  <c r="R109" i="30"/>
  <c r="Q108" i="30"/>
  <c r="N108" i="30" s="1"/>
  <c r="O108" i="30" s="1"/>
  <c r="P108" i="30"/>
  <c r="G93" i="30"/>
  <c r="F93" i="30" s="1"/>
  <c r="T107" i="30" l="1"/>
  <c r="T108" i="30" s="1"/>
  <c r="Y109" i="30"/>
  <c r="Z109" i="30" s="1"/>
  <c r="AF110" i="30"/>
  <c r="AC111" i="30"/>
  <c r="AB110" i="30"/>
  <c r="Y110" i="30" s="1"/>
  <c r="AA110" i="30"/>
  <c r="U109" i="30"/>
  <c r="R110" i="30"/>
  <c r="Q109" i="30"/>
  <c r="P109" i="30"/>
  <c r="G94" i="30"/>
  <c r="F94" i="30" s="1"/>
  <c r="N109" i="30" l="1"/>
  <c r="O109" i="30" s="1"/>
  <c r="AE109" i="30"/>
  <c r="AE110" i="30" s="1"/>
  <c r="Z110" i="30"/>
  <c r="AF111" i="30"/>
  <c r="AC112" i="30"/>
  <c r="AB111" i="30"/>
  <c r="Y111" i="30" s="1"/>
  <c r="Z111" i="30" s="1"/>
  <c r="AA111" i="30"/>
  <c r="U110" i="30"/>
  <c r="R111" i="30"/>
  <c r="Q110" i="30"/>
  <c r="N110" i="30" s="1"/>
  <c r="O110" i="30" s="1"/>
  <c r="P110" i="30"/>
  <c r="G95" i="30"/>
  <c r="F95" i="30" s="1"/>
  <c r="T109" i="30" l="1"/>
  <c r="T110" i="30" s="1"/>
  <c r="AE111" i="30"/>
  <c r="AA112" i="30"/>
  <c r="AF112" i="30"/>
  <c r="AC113" i="30"/>
  <c r="AB112" i="30"/>
  <c r="Y112" i="30" s="1"/>
  <c r="U111" i="30"/>
  <c r="R112" i="30"/>
  <c r="Q111" i="30"/>
  <c r="P111" i="30"/>
  <c r="G96" i="30"/>
  <c r="F96" i="30" s="1"/>
  <c r="N111" i="30" l="1"/>
  <c r="O111" i="30" s="1"/>
  <c r="Z112" i="30"/>
  <c r="AE112" i="30"/>
  <c r="AA113" i="30"/>
  <c r="AF113" i="30"/>
  <c r="AC114" i="30"/>
  <c r="AB113" i="30"/>
  <c r="Y113" i="30" s="1"/>
  <c r="P112" i="30"/>
  <c r="U112" i="30"/>
  <c r="R113" i="30"/>
  <c r="Q112" i="30"/>
  <c r="N112" i="30" s="1"/>
  <c r="G97" i="30"/>
  <c r="F97" i="30" s="1"/>
  <c r="T111" i="30" l="1"/>
  <c r="T112" i="30" s="1"/>
  <c r="Z113" i="30"/>
  <c r="AE113" i="30"/>
  <c r="AA114" i="30"/>
  <c r="AF114" i="30"/>
  <c r="AC115" i="30"/>
  <c r="AB114" i="30"/>
  <c r="O112" i="30"/>
  <c r="U113" i="30"/>
  <c r="R114" i="30"/>
  <c r="Q113" i="30"/>
  <c r="N113" i="30" s="1"/>
  <c r="O113" i="30" s="1"/>
  <c r="P113" i="30"/>
  <c r="G98" i="30"/>
  <c r="F98" i="30" s="1"/>
  <c r="Y114" i="30" l="1"/>
  <c r="AE114" i="30" s="1"/>
  <c r="AF115" i="30"/>
  <c r="AC116" i="30"/>
  <c r="AB115" i="30"/>
  <c r="Y115" i="30" s="1"/>
  <c r="Z115" i="30" s="1"/>
  <c r="AA115" i="30"/>
  <c r="T113" i="30"/>
  <c r="P114" i="30"/>
  <c r="U114" i="30"/>
  <c r="R115" i="30"/>
  <c r="Q114" i="30"/>
  <c r="N114" i="30" s="1"/>
  <c r="G99" i="30"/>
  <c r="F99" i="30" s="1"/>
  <c r="Z114" i="30" l="1"/>
  <c r="AA116" i="30"/>
  <c r="AF116" i="30"/>
  <c r="AC117" i="30"/>
  <c r="AB116" i="30"/>
  <c r="Y116" i="30" s="1"/>
  <c r="AE115" i="30"/>
  <c r="O114" i="30"/>
  <c r="T114" i="30"/>
  <c r="P115" i="30"/>
  <c r="U115" i="30"/>
  <c r="R116" i="30"/>
  <c r="Q115" i="30"/>
  <c r="N115" i="30" s="1"/>
  <c r="G100" i="30"/>
  <c r="F100" i="30" s="1"/>
  <c r="Z116" i="30" l="1"/>
  <c r="AE116" i="30"/>
  <c r="AF117" i="30"/>
  <c r="AC118" i="30"/>
  <c r="AB117" i="30"/>
  <c r="Y117" i="30" s="1"/>
  <c r="Z117" i="30" s="1"/>
  <c r="AA117" i="30"/>
  <c r="O115" i="30"/>
  <c r="T115" i="30"/>
  <c r="U116" i="30"/>
  <c r="R117" i="30"/>
  <c r="Q116" i="30"/>
  <c r="N116" i="30" s="1"/>
  <c r="O116" i="30" s="1"/>
  <c r="P116" i="30"/>
  <c r="G101" i="30"/>
  <c r="F101" i="30" s="1"/>
  <c r="AA118" i="30" l="1"/>
  <c r="AE117" i="30"/>
  <c r="AF118" i="30"/>
  <c r="AC119" i="30"/>
  <c r="AB118" i="30"/>
  <c r="T116" i="30"/>
  <c r="P117" i="30"/>
  <c r="U117" i="30"/>
  <c r="R118" i="30"/>
  <c r="Q117" i="30"/>
  <c r="N117" i="30" s="1"/>
  <c r="G102" i="30"/>
  <c r="F102" i="30" s="1"/>
  <c r="Y118" i="30" l="1"/>
  <c r="Z118" i="30" s="1"/>
  <c r="AF119" i="30"/>
  <c r="AC120" i="30"/>
  <c r="AB119" i="30"/>
  <c r="Y119" i="30" s="1"/>
  <c r="Z119" i="30" s="1"/>
  <c r="AA119" i="30"/>
  <c r="O117" i="30"/>
  <c r="T117" i="30"/>
  <c r="U118" i="30"/>
  <c r="R119" i="30"/>
  <c r="Q118" i="30"/>
  <c r="N118" i="30" s="1"/>
  <c r="O118" i="30" s="1"/>
  <c r="P118" i="30"/>
  <c r="G103" i="30"/>
  <c r="F103" i="30" s="1"/>
  <c r="AE118" i="30" l="1"/>
  <c r="AE119" i="30" s="1"/>
  <c r="AF120" i="30"/>
  <c r="AC121" i="30"/>
  <c r="AB120" i="30"/>
  <c r="Y120" i="30" s="1"/>
  <c r="AA120" i="30"/>
  <c r="T118" i="30"/>
  <c r="P119" i="30"/>
  <c r="U119" i="30"/>
  <c r="R120" i="30"/>
  <c r="Q119" i="30"/>
  <c r="N119" i="30" s="1"/>
  <c r="G104" i="30"/>
  <c r="F104" i="30" s="1"/>
  <c r="Z120" i="30" l="1"/>
  <c r="AE120" i="30"/>
  <c r="AF121" i="30"/>
  <c r="AC122" i="30"/>
  <c r="AB121" i="30"/>
  <c r="Y121" i="30" s="1"/>
  <c r="Z121" i="30" s="1"/>
  <c r="AA121" i="30"/>
  <c r="O119" i="30"/>
  <c r="T119" i="30"/>
  <c r="U120" i="30"/>
  <c r="R121" i="30"/>
  <c r="Q120" i="30"/>
  <c r="N120" i="30" s="1"/>
  <c r="O120" i="30" s="1"/>
  <c r="P120" i="30"/>
  <c r="G105" i="30"/>
  <c r="F105" i="30" s="1"/>
  <c r="AA122" i="30" l="1"/>
  <c r="AE121" i="30"/>
  <c r="AF122" i="30"/>
  <c r="AC123" i="30"/>
  <c r="AB122" i="30"/>
  <c r="T120" i="30"/>
  <c r="P121" i="30"/>
  <c r="U121" i="30"/>
  <c r="R122" i="30"/>
  <c r="Q121" i="30"/>
  <c r="N121" i="30" s="1"/>
  <c r="G106" i="30"/>
  <c r="F106" i="30" s="1"/>
  <c r="Y122" i="30" l="1"/>
  <c r="AE122" i="30" s="1"/>
  <c r="AF123" i="30"/>
  <c r="AC124" i="30"/>
  <c r="AB123" i="30"/>
  <c r="Y123" i="30" s="1"/>
  <c r="AA123" i="30"/>
  <c r="O121" i="30"/>
  <c r="T121" i="30"/>
  <c r="U122" i="30"/>
  <c r="R123" i="30"/>
  <c r="Q122" i="30"/>
  <c r="N122" i="30" s="1"/>
  <c r="O122" i="30" s="1"/>
  <c r="P122" i="30"/>
  <c r="G107" i="30"/>
  <c r="F107" i="30" s="1"/>
  <c r="Z122" i="30" l="1"/>
  <c r="Z123" i="30"/>
  <c r="AE123" i="30"/>
  <c r="AF124" i="30"/>
  <c r="AB124" i="30"/>
  <c r="Y124" i="30" s="1"/>
  <c r="AA124" i="30"/>
  <c r="T122" i="30"/>
  <c r="P123" i="30"/>
  <c r="U123" i="30"/>
  <c r="R124" i="30"/>
  <c r="Q123" i="30"/>
  <c r="N123" i="30" s="1"/>
  <c r="G108" i="30"/>
  <c r="F108" i="30" s="1"/>
  <c r="AE124" i="30" l="1"/>
  <c r="Z124" i="30"/>
  <c r="Z125" i="30" s="1"/>
  <c r="Y125" i="30"/>
  <c r="O123" i="30"/>
  <c r="T123" i="30"/>
  <c r="U124" i="30"/>
  <c r="Q124" i="30"/>
  <c r="N124" i="30" s="1"/>
  <c r="P124" i="30"/>
  <c r="G109" i="30"/>
  <c r="F109" i="30" s="1"/>
  <c r="O124" i="30" l="1"/>
  <c r="O125" i="30" s="1"/>
  <c r="N125" i="30"/>
  <c r="T124" i="30"/>
  <c r="G110" i="30"/>
  <c r="F110" i="30" s="1"/>
  <c r="G111" i="30" l="1"/>
  <c r="F111" i="30" s="1"/>
  <c r="G112" i="30" l="1"/>
  <c r="F112" i="30" s="1"/>
  <c r="G113" i="30" l="1"/>
  <c r="F113" i="30" s="1"/>
  <c r="G114" i="30" l="1"/>
  <c r="F114" i="30" s="1"/>
  <c r="G115" i="30" l="1"/>
  <c r="F115" i="30" s="1"/>
  <c r="G116" i="30" l="1"/>
  <c r="F116" i="30" s="1"/>
  <c r="G117" i="30" l="1"/>
  <c r="F117" i="30" s="1"/>
  <c r="G118" i="30" l="1"/>
  <c r="F118" i="30" s="1"/>
  <c r="G119" i="30" l="1"/>
  <c r="F119" i="30" s="1"/>
  <c r="G120" i="30" l="1"/>
  <c r="F120" i="30" s="1"/>
  <c r="G121" i="30" l="1"/>
  <c r="F121" i="30" s="1"/>
  <c r="G122" i="30" l="1"/>
  <c r="F122" i="30" s="1"/>
  <c r="G123" i="30" l="1"/>
  <c r="F123" i="30" s="1"/>
  <c r="G124" i="30" l="1"/>
  <c r="F124" i="30" s="1"/>
  <c r="F8" i="33" l="1"/>
  <c r="E32" i="12"/>
  <c r="O8" i="33" l="1"/>
  <c r="O9" i="33" s="1"/>
  <c r="O22" i="33" s="1"/>
  <c r="M8" i="33"/>
  <c r="M9" i="33" s="1"/>
  <c r="M22" i="33" s="1"/>
  <c r="J8" i="33"/>
  <c r="J9" i="33" s="1"/>
  <c r="J22" i="33" s="1"/>
  <c r="D8" i="33"/>
  <c r="D9" i="33" s="1"/>
  <c r="E8" i="33"/>
  <c r="E9" i="33" s="1"/>
  <c r="E22" i="33" s="1"/>
  <c r="G8" i="33"/>
  <c r="G9" i="33" s="1"/>
  <c r="G22" i="33" s="1"/>
  <c r="K8" i="33"/>
  <c r="K9" i="33" s="1"/>
  <c r="K22" i="33" s="1"/>
  <c r="N8" i="33"/>
  <c r="N9" i="33" s="1"/>
  <c r="N22" i="33" s="1"/>
  <c r="H8" i="33"/>
  <c r="H9" i="33" s="1"/>
  <c r="H22" i="33" s="1"/>
  <c r="I8" i="33"/>
  <c r="L8" i="33"/>
  <c r="L9" i="33" s="1"/>
  <c r="L22" i="33" s="1"/>
  <c r="E47" i="12"/>
  <c r="E33" i="12"/>
  <c r="F9" i="33"/>
  <c r="F22" i="33" s="1"/>
  <c r="Q8" i="33" l="1"/>
  <c r="I9" i="33"/>
  <c r="I22" i="33" s="1"/>
  <c r="E10" i="33"/>
  <c r="G11" i="33" s="1"/>
  <c r="G23" i="33" s="1"/>
  <c r="F10" i="33"/>
  <c r="H11" i="33" s="1"/>
  <c r="H23" i="33" s="1"/>
  <c r="K10" i="33"/>
  <c r="M11" i="33" s="1"/>
  <c r="M23" i="33" s="1"/>
  <c r="G10" i="33"/>
  <c r="I11" i="33" s="1"/>
  <c r="I23" i="33" s="1"/>
  <c r="L10" i="33"/>
  <c r="N11" i="33" s="1"/>
  <c r="N23" i="33" s="1"/>
  <c r="N10" i="33"/>
  <c r="O10" i="33"/>
  <c r="D22" i="33"/>
  <c r="H10" i="33"/>
  <c r="J11" i="33" s="1"/>
  <c r="J23" i="33" s="1"/>
  <c r="M10" i="33"/>
  <c r="O11" i="33" s="1"/>
  <c r="O23" i="33" s="1"/>
  <c r="J10" i="33"/>
  <c r="L11" i="33" s="1"/>
  <c r="L23" i="33" s="1"/>
  <c r="D10" i="33"/>
  <c r="P9" i="33" l="1"/>
  <c r="I10" i="33"/>
  <c r="K11" i="33" s="1"/>
  <c r="K23" i="33" s="1"/>
  <c r="P22" i="33"/>
  <c r="F11" i="33"/>
  <c r="P10" i="33" l="1"/>
  <c r="F23" i="33"/>
  <c r="P11" i="33"/>
  <c r="Q11" i="33" l="1"/>
  <c r="E86" i="12" s="1"/>
  <c r="P23" i="33"/>
  <c r="E60" i="12" l="1"/>
  <c r="P34" i="33" l="1"/>
  <c r="N86" i="12" l="1"/>
  <c r="M86" i="12"/>
  <c r="L86" i="12"/>
  <c r="K86" i="12"/>
  <c r="J86" i="12"/>
  <c r="I86" i="12"/>
  <c r="H86" i="12"/>
  <c r="G86" i="12"/>
  <c r="F86" i="12"/>
  <c r="F32" i="12"/>
  <c r="F47" i="12" s="1"/>
  <c r="N32" i="12"/>
  <c r="N47" i="12" s="1"/>
  <c r="M32" i="12"/>
  <c r="M33" i="12" s="1"/>
  <c r="L32" i="12"/>
  <c r="L47" i="12" s="1"/>
  <c r="K32" i="12"/>
  <c r="K33" i="12" s="1"/>
  <c r="J32" i="12"/>
  <c r="J47" i="12" s="1"/>
  <c r="H32" i="12"/>
  <c r="H33" i="12" s="1"/>
  <c r="I32" i="12"/>
  <c r="I33" i="12" s="1"/>
  <c r="G32" i="12"/>
  <c r="G33" i="12" s="1"/>
  <c r="I60" i="12" l="1"/>
  <c r="L60" i="12"/>
  <c r="H60" i="12"/>
  <c r="J60" i="12"/>
  <c r="N60" i="12"/>
  <c r="M60" i="12"/>
  <c r="G60" i="12"/>
  <c r="F60" i="12"/>
  <c r="K60" i="12"/>
  <c r="O6" i="35"/>
  <c r="I47" i="12"/>
  <c r="K47" i="12"/>
  <c r="N33" i="12"/>
  <c r="G47" i="12"/>
  <c r="J33" i="12"/>
  <c r="F33" i="12"/>
  <c r="L33" i="12"/>
  <c r="M47" i="12"/>
  <c r="H47" i="12"/>
  <c r="L106" i="12" l="1"/>
  <c r="L98" i="12"/>
  <c r="F98" i="12"/>
  <c r="G98" i="12"/>
  <c r="H106" i="12" l="1"/>
  <c r="H98" i="12"/>
  <c r="N106" i="12"/>
  <c r="N98" i="12"/>
  <c r="M106" i="12"/>
  <c r="M98" i="12"/>
  <c r="I106" i="12"/>
  <c r="I98" i="12"/>
  <c r="J106" i="12"/>
  <c r="J98" i="12"/>
  <c r="K106" i="12"/>
  <c r="K98" i="12"/>
  <c r="E98" i="12"/>
  <c r="P39" i="33"/>
  <c r="G106" i="12"/>
  <c r="F106" i="12"/>
  <c r="E106" i="12"/>
  <c r="F39" i="33" l="1"/>
  <c r="O39" i="33"/>
  <c r="I39" i="33"/>
  <c r="K39" i="33"/>
  <c r="N39" i="33"/>
  <c r="G39" i="33"/>
  <c r="E39" i="33"/>
  <c r="H39" i="33"/>
  <c r="L39" i="33"/>
  <c r="J39" i="33"/>
  <c r="M39" i="33"/>
  <c r="D39" i="33"/>
  <c r="E97" i="12"/>
  <c r="C7" i="35"/>
  <c r="J7" i="35" s="1"/>
  <c r="H118" i="20" l="1"/>
  <c r="H119" i="20" s="1"/>
  <c r="F3" i="30" s="1"/>
  <c r="E64" i="12" s="1"/>
  <c r="E57" i="12"/>
  <c r="D15" i="33" s="1"/>
  <c r="D20" i="33" s="1"/>
  <c r="J5" i="35"/>
  <c r="B124" i="30"/>
  <c r="B111" i="30"/>
  <c r="B110" i="30"/>
  <c r="B105" i="30"/>
  <c r="B99" i="30"/>
  <c r="B118" i="30"/>
  <c r="B106" i="30"/>
  <c r="B113" i="30"/>
  <c r="B101" i="30"/>
  <c r="B89" i="30"/>
  <c r="B63" i="30"/>
  <c r="B49" i="30"/>
  <c r="B48" i="30"/>
  <c r="B31" i="30"/>
  <c r="B94" i="30"/>
  <c r="B60" i="30"/>
  <c r="B81" i="30"/>
  <c r="B50" i="30"/>
  <c r="B44" i="30"/>
  <c r="B18" i="30"/>
  <c r="B15" i="30"/>
  <c r="B73" i="30"/>
  <c r="B58" i="30"/>
  <c r="B36" i="30"/>
  <c r="B53" i="30"/>
  <c r="B21" i="30"/>
  <c r="B20" i="30"/>
  <c r="B85" i="30"/>
  <c r="B72" i="30"/>
  <c r="B68" i="30"/>
  <c r="B57" i="30"/>
  <c r="B37" i="30"/>
  <c r="B34" i="30"/>
  <c r="B33" i="30"/>
  <c r="B16" i="30"/>
  <c r="C5" i="30"/>
  <c r="B80" i="30"/>
  <c r="B71" i="30"/>
  <c r="B66" i="30"/>
  <c r="B59" i="30"/>
  <c r="B43" i="30"/>
  <c r="B40" i="30"/>
  <c r="B35" i="30"/>
  <c r="B28" i="30"/>
  <c r="B27" i="30"/>
  <c r="B22" i="30"/>
  <c r="B17" i="30"/>
  <c r="B86" i="30" l="1"/>
  <c r="B88" i="30"/>
  <c r="B84" i="30"/>
  <c r="D32" i="33"/>
  <c r="J8" i="35"/>
  <c r="B121" i="30"/>
  <c r="B5" i="30"/>
  <c r="B7" i="30"/>
  <c r="AM15" i="30" s="1"/>
  <c r="AO15" i="30" s="1"/>
  <c r="AO29" i="30" s="1"/>
  <c r="F37" i="33" s="1"/>
  <c r="F41" i="33" s="1"/>
  <c r="B6" i="30"/>
  <c r="AM14" i="30" s="1"/>
  <c r="AO14" i="30" s="1"/>
  <c r="AN29" i="30" s="1"/>
  <c r="E37" i="33" s="1"/>
  <c r="E41" i="33" s="1"/>
  <c r="B8" i="30"/>
  <c r="AM16" i="30" s="1"/>
  <c r="AO16" i="30" s="1"/>
  <c r="AP29" i="30" s="1"/>
  <c r="G37" i="33" s="1"/>
  <c r="G41" i="33" s="1"/>
  <c r="B9" i="30"/>
  <c r="AM17" i="30" s="1"/>
  <c r="AO17" i="30" s="1"/>
  <c r="AQ29" i="30" s="1"/>
  <c r="H37" i="33" s="1"/>
  <c r="H41" i="33" s="1"/>
  <c r="B10" i="30"/>
  <c r="AM18" i="30" s="1"/>
  <c r="AO18" i="30" s="1"/>
  <c r="AR29" i="30" s="1"/>
  <c r="I37" i="33" s="1"/>
  <c r="I41" i="33" s="1"/>
  <c r="B12" i="30"/>
  <c r="AM20" i="30" s="1"/>
  <c r="AO20" i="30" s="1"/>
  <c r="AT29" i="30" s="1"/>
  <c r="K37" i="33" s="1"/>
  <c r="K41" i="33" s="1"/>
  <c r="B41" i="30"/>
  <c r="J41" i="30" s="1"/>
  <c r="B46" i="30"/>
  <c r="B83" i="30"/>
  <c r="B19" i="30"/>
  <c r="B62" i="30"/>
  <c r="B61" i="30"/>
  <c r="B42" i="30"/>
  <c r="B55" i="30"/>
  <c r="B70" i="30"/>
  <c r="B98" i="30"/>
  <c r="B95" i="30"/>
  <c r="B87" i="30"/>
  <c r="B104" i="30"/>
  <c r="B93" i="30"/>
  <c r="B119" i="30"/>
  <c r="B13" i="30"/>
  <c r="B32" i="30"/>
  <c r="B47" i="30"/>
  <c r="B91" i="30"/>
  <c r="B24" i="30"/>
  <c r="B74" i="30"/>
  <c r="B64" i="30"/>
  <c r="B45" i="30"/>
  <c r="B77" i="30"/>
  <c r="J77" i="30" s="1"/>
  <c r="B78" i="30"/>
  <c r="B82" i="30"/>
  <c r="B100" i="30"/>
  <c r="B96" i="30"/>
  <c r="B97" i="30"/>
  <c r="B107" i="30"/>
  <c r="B109" i="30"/>
  <c r="B103" i="30"/>
  <c r="B117" i="30"/>
  <c r="B122" i="30"/>
  <c r="B29" i="30"/>
  <c r="J29" i="30" s="1"/>
  <c r="B30" i="30"/>
  <c r="B56" i="30"/>
  <c r="B75" i="30"/>
  <c r="B26" i="30"/>
  <c r="B38" i="30"/>
  <c r="B76" i="30"/>
  <c r="B11" i="30"/>
  <c r="B25" i="30"/>
  <c r="B39" i="30"/>
  <c r="B69" i="30"/>
  <c r="B14" i="30"/>
  <c r="AM22" i="30" s="1"/>
  <c r="AO22" i="30" s="1"/>
  <c r="AV29" i="30" s="1"/>
  <c r="M37" i="33" s="1"/>
  <c r="M41" i="33" s="1"/>
  <c r="B23" i="30"/>
  <c r="B54" i="30"/>
  <c r="B51" i="30"/>
  <c r="B92" i="30"/>
  <c r="B65" i="30"/>
  <c r="J65" i="30" s="1"/>
  <c r="B52" i="30"/>
  <c r="B67" i="30"/>
  <c r="B79" i="30"/>
  <c r="B102" i="30"/>
  <c r="B90" i="30"/>
  <c r="B114" i="30"/>
  <c r="B115" i="30"/>
  <c r="B123" i="30"/>
  <c r="B112" i="30"/>
  <c r="B108" i="30"/>
  <c r="B116" i="30"/>
  <c r="B120" i="30"/>
  <c r="AM23" i="30"/>
  <c r="AO23" i="30" s="1"/>
  <c r="AW29" i="30" s="1"/>
  <c r="N37" i="33" s="1"/>
  <c r="N41" i="33" s="1"/>
  <c r="J89" i="30"/>
  <c r="J101" i="30"/>
  <c r="AM24" i="30"/>
  <c r="AO24" i="30" s="1"/>
  <c r="AX29" i="30" s="1"/>
  <c r="O37" i="33" s="1"/>
  <c r="O41" i="33" s="1"/>
  <c r="AM21" i="30"/>
  <c r="AO21" i="30" s="1"/>
  <c r="AU29" i="30" s="1"/>
  <c r="L37" i="33" s="1"/>
  <c r="L41" i="33" s="1"/>
  <c r="J17" i="30"/>
  <c r="D5" i="30"/>
  <c r="I5" i="30"/>
  <c r="AP13" i="30"/>
  <c r="AR13" i="30" s="1"/>
  <c r="AM30" i="30" s="1"/>
  <c r="J53" i="30"/>
  <c r="J113" i="30"/>
  <c r="AM13" i="30" l="1"/>
  <c r="AO13" i="30" s="1"/>
  <c r="AM29" i="30" s="1"/>
  <c r="D37" i="33" s="1"/>
  <c r="D41" i="33" s="1"/>
  <c r="J5" i="30"/>
  <c r="E5" i="30"/>
  <c r="AM19" i="30"/>
  <c r="AO19" i="30" s="1"/>
  <c r="AS29" i="30" s="1"/>
  <c r="J37" i="33" s="1"/>
  <c r="B125" i="30"/>
  <c r="B127" i="30" s="1"/>
  <c r="H3" i="30" s="1"/>
  <c r="J18" i="30"/>
  <c r="AI17" i="30"/>
  <c r="AI53" i="30"/>
  <c r="J54" i="30"/>
  <c r="AH5" i="30"/>
  <c r="AI41" i="30"/>
  <c r="J42" i="30"/>
  <c r="J102" i="30"/>
  <c r="AI101" i="30"/>
  <c r="AI65" i="30"/>
  <c r="J66" i="30"/>
  <c r="AI29" i="30"/>
  <c r="J30" i="30"/>
  <c r="J90" i="30"/>
  <c r="AI89" i="30"/>
  <c r="AI113" i="30"/>
  <c r="J114" i="30"/>
  <c r="AI77" i="30"/>
  <c r="J78" i="30"/>
  <c r="D27" i="33"/>
  <c r="E6" i="30" l="1"/>
  <c r="AJ5" i="30"/>
  <c r="C6" i="30"/>
  <c r="J6" i="30"/>
  <c r="AI5" i="30"/>
  <c r="AY29" i="30"/>
  <c r="J79" i="30"/>
  <c r="AI78" i="30"/>
  <c r="AI102" i="30"/>
  <c r="J103" i="30"/>
  <c r="J55" i="30"/>
  <c r="AI54" i="30"/>
  <c r="J41" i="33"/>
  <c r="P37" i="33"/>
  <c r="J91" i="30"/>
  <c r="AI90" i="30"/>
  <c r="AI66" i="30"/>
  <c r="J67" i="30"/>
  <c r="AI42" i="30"/>
  <c r="J43" i="30"/>
  <c r="J115" i="30"/>
  <c r="AI114" i="30"/>
  <c r="AI30" i="30"/>
  <c r="J31" i="30"/>
  <c r="J19" i="30"/>
  <c r="AI18" i="30"/>
  <c r="J7" i="30" l="1"/>
  <c r="AI6" i="30"/>
  <c r="AP14" i="30"/>
  <c r="AR14" i="30" s="1"/>
  <c r="AN30" i="30" s="1"/>
  <c r="E27" i="33" s="1"/>
  <c r="E28" i="33" s="1"/>
  <c r="I6" i="30"/>
  <c r="D6" i="30"/>
  <c r="E7" i="30"/>
  <c r="AJ6" i="30"/>
  <c r="C7" i="30"/>
  <c r="J92" i="30"/>
  <c r="AI91" i="30"/>
  <c r="J56" i="30"/>
  <c r="AI55" i="30"/>
  <c r="J20" i="30"/>
  <c r="AI19" i="30"/>
  <c r="AI103" i="30"/>
  <c r="J104" i="30"/>
  <c r="J116" i="30"/>
  <c r="AI115" i="30"/>
  <c r="J80" i="30"/>
  <c r="AI79" i="30"/>
  <c r="J68" i="30"/>
  <c r="AI67" i="30"/>
  <c r="AI31" i="30"/>
  <c r="J32" i="30"/>
  <c r="J44" i="30"/>
  <c r="AI43" i="30"/>
  <c r="AP15" i="30" l="1"/>
  <c r="AR15" i="30" s="1"/>
  <c r="AO30" i="30" s="1"/>
  <c r="F27" i="33" s="1"/>
  <c r="F28" i="33" s="1"/>
  <c r="D7" i="30"/>
  <c r="I7" i="30"/>
  <c r="AH6" i="30"/>
  <c r="C8" i="30"/>
  <c r="E8" i="30"/>
  <c r="AJ7" i="30"/>
  <c r="J8" i="30"/>
  <c r="AI7" i="30"/>
  <c r="J69" i="30"/>
  <c r="AI68" i="30"/>
  <c r="J105" i="30"/>
  <c r="AI104" i="30"/>
  <c r="AI32" i="30"/>
  <c r="J33" i="30"/>
  <c r="J117" i="30"/>
  <c r="AI116" i="30"/>
  <c r="J93" i="30"/>
  <c r="AI92" i="30"/>
  <c r="J21" i="30"/>
  <c r="AI20" i="30"/>
  <c r="J45" i="30"/>
  <c r="AI44" i="30"/>
  <c r="AI80" i="30"/>
  <c r="J81" i="30"/>
  <c r="AI56" i="30"/>
  <c r="J57" i="30"/>
  <c r="E9" i="30" l="1"/>
  <c r="AJ8" i="30"/>
  <c r="C9" i="30"/>
  <c r="AI8" i="30"/>
  <c r="J9" i="30"/>
  <c r="I8" i="30"/>
  <c r="AH7" i="30"/>
  <c r="AP16" i="30"/>
  <c r="AR16" i="30" s="1"/>
  <c r="AP30" i="30" s="1"/>
  <c r="G27" i="33" s="1"/>
  <c r="G28" i="33" s="1"/>
  <c r="D8" i="30"/>
  <c r="J58" i="30"/>
  <c r="AI57" i="30"/>
  <c r="AI45" i="30"/>
  <c r="J46" i="30"/>
  <c r="AI81" i="30"/>
  <c r="J82" i="30"/>
  <c r="AI93" i="30"/>
  <c r="J94" i="30"/>
  <c r="J118" i="30"/>
  <c r="AI117" i="30"/>
  <c r="J106" i="30"/>
  <c r="AI105" i="30"/>
  <c r="AI21" i="30"/>
  <c r="J22" i="30"/>
  <c r="J34" i="30"/>
  <c r="AI33" i="30"/>
  <c r="AI69" i="30"/>
  <c r="J70" i="30"/>
  <c r="I9" i="30" l="1"/>
  <c r="AH8" i="30"/>
  <c r="AP17" i="30"/>
  <c r="AR17" i="30" s="1"/>
  <c r="AQ30" i="30" s="1"/>
  <c r="H27" i="33" s="1"/>
  <c r="H28" i="33" s="1"/>
  <c r="D9" i="30"/>
  <c r="J10" i="30"/>
  <c r="AI9" i="30"/>
  <c r="E10" i="30"/>
  <c r="C10" i="30"/>
  <c r="AJ9" i="30"/>
  <c r="AI22" i="30"/>
  <c r="J23" i="30"/>
  <c r="AI46" i="30"/>
  <c r="J47" i="30"/>
  <c r="J35" i="30"/>
  <c r="AI34" i="30"/>
  <c r="AI106" i="30"/>
  <c r="J107" i="30"/>
  <c r="J83" i="30"/>
  <c r="AI82" i="30"/>
  <c r="J71" i="30"/>
  <c r="AI70" i="30"/>
  <c r="J119" i="30"/>
  <c r="AI118" i="30"/>
  <c r="J95" i="30"/>
  <c r="AI94" i="30"/>
  <c r="AI58" i="30"/>
  <c r="J59" i="30"/>
  <c r="AP18" i="30" l="1"/>
  <c r="AR18" i="30" s="1"/>
  <c r="AR30" i="30" s="1"/>
  <c r="I27" i="33" s="1"/>
  <c r="I28" i="33" s="1"/>
  <c r="D10" i="30"/>
  <c r="AJ10" i="30"/>
  <c r="E11" i="30"/>
  <c r="C11" i="30"/>
  <c r="AI10" i="30"/>
  <c r="J11" i="30"/>
  <c r="I10" i="30"/>
  <c r="AH9" i="30"/>
  <c r="AI107" i="30"/>
  <c r="J108" i="30"/>
  <c r="J48" i="30"/>
  <c r="AI47" i="30"/>
  <c r="J96" i="30"/>
  <c r="AI95" i="30"/>
  <c r="J120" i="30"/>
  <c r="AI119" i="30"/>
  <c r="J84" i="30"/>
  <c r="AI83" i="30"/>
  <c r="J60" i="30"/>
  <c r="AI59" i="30"/>
  <c r="J24" i="30"/>
  <c r="AI23" i="30"/>
  <c r="J72" i="30"/>
  <c r="AI71" i="30"/>
  <c r="J36" i="30"/>
  <c r="AI35" i="30"/>
  <c r="I11" i="30" l="1"/>
  <c r="AH10" i="30"/>
  <c r="E12" i="30"/>
  <c r="AJ11" i="30"/>
  <c r="C12" i="30"/>
  <c r="J12" i="30"/>
  <c r="AI11" i="30"/>
  <c r="AP19" i="30"/>
  <c r="AR19" i="30" s="1"/>
  <c r="AS30" i="30" s="1"/>
  <c r="J27" i="33" s="1"/>
  <c r="J28" i="33" s="1"/>
  <c r="D11" i="30"/>
  <c r="J73" i="30"/>
  <c r="AI72" i="30"/>
  <c r="J97" i="30"/>
  <c r="AI96" i="30"/>
  <c r="J25" i="30"/>
  <c r="AI24" i="30"/>
  <c r="J61" i="30"/>
  <c r="AI60" i="30"/>
  <c r="J121" i="30"/>
  <c r="AI120" i="30"/>
  <c r="J37" i="30"/>
  <c r="AI36" i="30"/>
  <c r="J85" i="30"/>
  <c r="AI84" i="30"/>
  <c r="J49" i="30"/>
  <c r="AI48" i="30"/>
  <c r="J109" i="30"/>
  <c r="AI108" i="30"/>
  <c r="C13" i="30" l="1"/>
  <c r="AJ12" i="30"/>
  <c r="E13" i="30"/>
  <c r="J13" i="30"/>
  <c r="AI12" i="30"/>
  <c r="AP20" i="30"/>
  <c r="AR20" i="30" s="1"/>
  <c r="AT30" i="30" s="1"/>
  <c r="K27" i="33" s="1"/>
  <c r="K28" i="33" s="1"/>
  <c r="D12" i="30"/>
  <c r="AH11" i="30"/>
  <c r="I12" i="30"/>
  <c r="J110" i="30"/>
  <c r="AI109" i="30"/>
  <c r="J86" i="30"/>
  <c r="AI85" i="30"/>
  <c r="J122" i="30"/>
  <c r="AI121" i="30"/>
  <c r="AI25" i="30"/>
  <c r="J26" i="30"/>
  <c r="J74" i="30"/>
  <c r="AI73" i="30"/>
  <c r="J50" i="30"/>
  <c r="AI49" i="30"/>
  <c r="J38" i="30"/>
  <c r="AI37" i="30"/>
  <c r="J62" i="30"/>
  <c r="AI61" i="30"/>
  <c r="J98" i="30"/>
  <c r="AI97" i="30"/>
  <c r="J14" i="30" l="1"/>
  <c r="AI13" i="30"/>
  <c r="E14" i="30"/>
  <c r="AJ13" i="30"/>
  <c r="C14" i="30"/>
  <c r="I13" i="30"/>
  <c r="AH12" i="30"/>
  <c r="AP21" i="30"/>
  <c r="AR21" i="30" s="1"/>
  <c r="AU30" i="30" s="1"/>
  <c r="L27" i="33" s="1"/>
  <c r="L28" i="33" s="1"/>
  <c r="D13" i="30"/>
  <c r="AI98" i="30"/>
  <c r="J99" i="30"/>
  <c r="AI38" i="30"/>
  <c r="J39" i="30"/>
  <c r="J75" i="30"/>
  <c r="AI74" i="30"/>
  <c r="AI122" i="30"/>
  <c r="J123" i="30"/>
  <c r="J87" i="30"/>
  <c r="AI86" i="30"/>
  <c r="J63" i="30"/>
  <c r="AI62" i="30"/>
  <c r="AI26" i="30"/>
  <c r="J27" i="30"/>
  <c r="J51" i="30"/>
  <c r="AI50" i="30"/>
  <c r="J111" i="30"/>
  <c r="AI110" i="30"/>
  <c r="AJ14" i="30" l="1"/>
  <c r="E15" i="30"/>
  <c r="C15" i="30"/>
  <c r="I14" i="30"/>
  <c r="AH13" i="30"/>
  <c r="AP22" i="30"/>
  <c r="AR22" i="30" s="1"/>
  <c r="AV30" i="30" s="1"/>
  <c r="M27" i="33" s="1"/>
  <c r="M28" i="33" s="1"/>
  <c r="D14" i="30"/>
  <c r="J15" i="30"/>
  <c r="AI14" i="30"/>
  <c r="J64" i="30"/>
  <c r="AI64" i="30" s="1"/>
  <c r="AQ6" i="30" s="1"/>
  <c r="I56" i="12" s="1"/>
  <c r="I107" i="12" s="1"/>
  <c r="AI63" i="30"/>
  <c r="AI111" i="30"/>
  <c r="J112" i="30"/>
  <c r="AI112" i="30" s="1"/>
  <c r="AU6" i="30" s="1"/>
  <c r="M56" i="12" s="1"/>
  <c r="M107" i="12" s="1"/>
  <c r="AI27" i="30"/>
  <c r="J28" i="30"/>
  <c r="AI28" i="30" s="1"/>
  <c r="AN6" i="30" s="1"/>
  <c r="F56" i="12" s="1"/>
  <c r="F107" i="12" s="1"/>
  <c r="J52" i="30"/>
  <c r="AI52" i="30" s="1"/>
  <c r="AP6" i="30" s="1"/>
  <c r="H56" i="12" s="1"/>
  <c r="H107" i="12" s="1"/>
  <c r="AI51" i="30"/>
  <c r="J88" i="30"/>
  <c r="AI88" i="30" s="1"/>
  <c r="AS6" i="30" s="1"/>
  <c r="K56" i="12" s="1"/>
  <c r="K107" i="12" s="1"/>
  <c r="AI87" i="30"/>
  <c r="J76" i="30"/>
  <c r="AI76" i="30" s="1"/>
  <c r="AR6" i="30" s="1"/>
  <c r="J56" i="12" s="1"/>
  <c r="J107" i="12" s="1"/>
  <c r="AI75" i="30"/>
  <c r="J100" i="30"/>
  <c r="AI100" i="30" s="1"/>
  <c r="AT6" i="30" s="1"/>
  <c r="L56" i="12" s="1"/>
  <c r="L107" i="12" s="1"/>
  <c r="AI99" i="30"/>
  <c r="J124" i="30"/>
  <c r="AI124" i="30" s="1"/>
  <c r="AV6" i="30" s="1"/>
  <c r="N56" i="12" s="1"/>
  <c r="N107" i="12" s="1"/>
  <c r="AI123" i="30"/>
  <c r="AI39" i="30"/>
  <c r="J40" i="30"/>
  <c r="AI40" i="30" s="1"/>
  <c r="AO6" i="30" s="1"/>
  <c r="G56" i="12" s="1"/>
  <c r="G107" i="12" s="1"/>
  <c r="J16" i="30" l="1"/>
  <c r="AI16" i="30" s="1"/>
  <c r="AM6" i="30" s="1"/>
  <c r="E56" i="12" s="1"/>
  <c r="E107" i="12" s="1"/>
  <c r="AI15" i="30"/>
  <c r="I15" i="30"/>
  <c r="AH14" i="30"/>
  <c r="AP23" i="30"/>
  <c r="AR23" i="30" s="1"/>
  <c r="AW30" i="30" s="1"/>
  <c r="N27" i="33" s="1"/>
  <c r="N28" i="33" s="1"/>
  <c r="D15" i="30"/>
  <c r="C16" i="30"/>
  <c r="E16" i="30"/>
  <c r="AJ15" i="30"/>
  <c r="C17" i="30" l="1"/>
  <c r="E17" i="30"/>
  <c r="AJ16" i="30"/>
  <c r="AM7" i="30" s="1"/>
  <c r="D16" i="30"/>
  <c r="AP24" i="30"/>
  <c r="AR24" i="30" s="1"/>
  <c r="AX30" i="30" s="1"/>
  <c r="O27" i="33" s="1"/>
  <c r="O28" i="33" s="1"/>
  <c r="AH15" i="30"/>
  <c r="I16" i="30"/>
  <c r="AH16" i="30" s="1"/>
  <c r="AM5" i="30" s="1"/>
  <c r="E49" i="12" s="1"/>
  <c r="E50" i="12" s="1"/>
  <c r="E55" i="12" s="1"/>
  <c r="E67" i="12" s="1"/>
  <c r="E68" i="12" s="1"/>
  <c r="AY30" i="30" l="1"/>
  <c r="I17" i="30"/>
  <c r="D17" i="30"/>
  <c r="P27" i="33"/>
  <c r="E91" i="12"/>
  <c r="AM8" i="30"/>
  <c r="E18" i="30"/>
  <c r="C18" i="30"/>
  <c r="D18" i="30" s="1"/>
  <c r="AJ17" i="30"/>
  <c r="E87" i="12"/>
  <c r="D31" i="33"/>
  <c r="E69" i="12"/>
  <c r="E51" i="12"/>
  <c r="D26" i="33" s="1"/>
  <c r="AJ18" i="30" l="1"/>
  <c r="C19" i="30"/>
  <c r="D19" i="30" s="1"/>
  <c r="E19" i="30"/>
  <c r="I18" i="30"/>
  <c r="AH17" i="30"/>
  <c r="E90" i="12"/>
  <c r="E105" i="12"/>
  <c r="E70" i="12"/>
  <c r="E71" i="12" s="1"/>
  <c r="E52" i="12"/>
  <c r="E94" i="12"/>
  <c r="I19" i="30" l="1"/>
  <c r="AH18" i="30"/>
  <c r="C20" i="30"/>
  <c r="D20" i="30" s="1"/>
  <c r="AJ19" i="30"/>
  <c r="E20" i="30"/>
  <c r="D28" i="33"/>
  <c r="D29" i="33" s="1"/>
  <c r="P26" i="33"/>
  <c r="P28" i="33" s="1"/>
  <c r="E95" i="12"/>
  <c r="P42" i="33"/>
  <c r="F57" i="12"/>
  <c r="E74" i="12"/>
  <c r="E79" i="12" s="1"/>
  <c r="E85" i="12" s="1"/>
  <c r="P31" i="33"/>
  <c r="D35" i="33"/>
  <c r="P35" i="33" s="1"/>
  <c r="E99" i="12"/>
  <c r="E104" i="12"/>
  <c r="AJ20" i="30" l="1"/>
  <c r="E21" i="30"/>
  <c r="C21" i="30"/>
  <c r="D21" i="30" s="1"/>
  <c r="AH19" i="30"/>
  <c r="I20" i="30"/>
  <c r="E101" i="12"/>
  <c r="E102" i="12" s="1"/>
  <c r="E103" i="12" s="1"/>
  <c r="D42" i="33"/>
  <c r="E15" i="33" s="1"/>
  <c r="E20" i="33" s="1"/>
  <c r="E22" i="30" l="1"/>
  <c r="C22" i="30"/>
  <c r="D22" i="30" s="1"/>
  <c r="AJ21" i="30"/>
  <c r="AH20" i="30"/>
  <c r="I21" i="30"/>
  <c r="F97" i="12"/>
  <c r="E29" i="33"/>
  <c r="E42" i="33" s="1"/>
  <c r="F15" i="33" s="1"/>
  <c r="F20" i="33" s="1"/>
  <c r="F29" i="33" s="1"/>
  <c r="F42" i="33" s="1"/>
  <c r="G15" i="33" s="1"/>
  <c r="G20" i="33" s="1"/>
  <c r="G29" i="33" s="1"/>
  <c r="G42" i="33" s="1"/>
  <c r="H15" i="33" s="1"/>
  <c r="H20" i="33" s="1"/>
  <c r="H29" i="33" s="1"/>
  <c r="H42" i="33" s="1"/>
  <c r="I15" i="33" s="1"/>
  <c r="I20" i="33" s="1"/>
  <c r="I29" i="33" s="1"/>
  <c r="I42" i="33" s="1"/>
  <c r="J15" i="33" s="1"/>
  <c r="J20" i="33" s="1"/>
  <c r="J29" i="33" s="1"/>
  <c r="J42" i="33" s="1"/>
  <c r="K15" i="33" s="1"/>
  <c r="K20" i="33" s="1"/>
  <c r="K29" i="33" s="1"/>
  <c r="K42" i="33" s="1"/>
  <c r="L15" i="33" s="1"/>
  <c r="L20" i="33" s="1"/>
  <c r="L29" i="33" s="1"/>
  <c r="L42" i="33" s="1"/>
  <c r="M15" i="33" s="1"/>
  <c r="M20" i="33" s="1"/>
  <c r="M29" i="33" s="1"/>
  <c r="M42" i="33" s="1"/>
  <c r="N15" i="33" s="1"/>
  <c r="N20" i="33" s="1"/>
  <c r="N29" i="33" s="1"/>
  <c r="N42" i="33" s="1"/>
  <c r="O15" i="33" s="1"/>
  <c r="O20" i="33" s="1"/>
  <c r="O29" i="33" s="1"/>
  <c r="O42" i="33" s="1"/>
  <c r="AH21" i="30" l="1"/>
  <c r="I22" i="30"/>
  <c r="E23" i="30"/>
  <c r="AJ22" i="30"/>
  <c r="C23" i="30"/>
  <c r="D23" i="30" s="1"/>
  <c r="P20" i="33"/>
  <c r="AJ23" i="30" l="1"/>
  <c r="C24" i="30"/>
  <c r="D24" i="30" s="1"/>
  <c r="E24" i="30"/>
  <c r="I23" i="30"/>
  <c r="AH22" i="30"/>
  <c r="I24" i="30" l="1"/>
  <c r="AH23" i="30"/>
  <c r="C25" i="30"/>
  <c r="D25" i="30" s="1"/>
  <c r="AJ24" i="30"/>
  <c r="E25" i="30"/>
  <c r="AJ25" i="30" l="1"/>
  <c r="C26" i="30"/>
  <c r="D26" i="30" s="1"/>
  <c r="E26" i="30"/>
  <c r="AH24" i="30"/>
  <c r="I25" i="30"/>
  <c r="E27" i="30" l="1"/>
  <c r="C27" i="30"/>
  <c r="D27" i="30" s="1"/>
  <c r="AJ26" i="30"/>
  <c r="AH25" i="30"/>
  <c r="I26" i="30"/>
  <c r="I27" i="30" l="1"/>
  <c r="AH26" i="30"/>
  <c r="AJ27" i="30"/>
  <c r="C28" i="30"/>
  <c r="D28" i="30" s="1"/>
  <c r="E28" i="30"/>
  <c r="AJ28" i="30" l="1"/>
  <c r="AN7" i="30" s="1"/>
  <c r="F91" i="12" s="1"/>
  <c r="C29" i="30"/>
  <c r="E29" i="30"/>
  <c r="I28" i="30"/>
  <c r="AH28" i="30" s="1"/>
  <c r="AN5" i="30" s="1"/>
  <c r="F49" i="12" s="1"/>
  <c r="F50" i="12" s="1"/>
  <c r="F55" i="12" s="1"/>
  <c r="F67" i="12" s="1"/>
  <c r="F68" i="12" s="1"/>
  <c r="F87" i="12" s="1"/>
  <c r="AH27" i="30"/>
  <c r="F105" i="12" l="1"/>
  <c r="C30" i="30"/>
  <c r="D30" i="30" s="1"/>
  <c r="E30" i="30"/>
  <c r="AJ29" i="30"/>
  <c r="I29" i="30"/>
  <c r="D29" i="30"/>
  <c r="F69" i="12"/>
  <c r="F90" i="12"/>
  <c r="F51" i="12"/>
  <c r="I30" i="30" l="1"/>
  <c r="AH29" i="30"/>
  <c r="AJ30" i="30"/>
  <c r="E31" i="30"/>
  <c r="C31" i="30"/>
  <c r="D31" i="30" s="1"/>
  <c r="F70" i="12"/>
  <c r="F71" i="12" s="1"/>
  <c r="F52" i="12"/>
  <c r="F94" i="12"/>
  <c r="C32" i="30" l="1"/>
  <c r="D32" i="30" s="1"/>
  <c r="AJ31" i="30"/>
  <c r="E32" i="30"/>
  <c r="I31" i="30"/>
  <c r="AH30" i="30"/>
  <c r="F99" i="12"/>
  <c r="F101" i="12" s="1"/>
  <c r="G97" i="12" s="1"/>
  <c r="F104" i="12"/>
  <c r="F95" i="12"/>
  <c r="G57" i="12"/>
  <c r="F74" i="12"/>
  <c r="F79" i="12" s="1"/>
  <c r="F85" i="12" s="1"/>
  <c r="I32" i="30" l="1"/>
  <c r="AH31" i="30"/>
  <c r="E33" i="30"/>
  <c r="C33" i="30"/>
  <c r="D33" i="30" s="1"/>
  <c r="AJ32" i="30"/>
  <c r="F102" i="12"/>
  <c r="F103" i="12" s="1"/>
  <c r="AJ33" i="30" l="1"/>
  <c r="C34" i="30"/>
  <c r="D34" i="30" s="1"/>
  <c r="E34" i="30"/>
  <c r="AH32" i="30"/>
  <c r="I33" i="30"/>
  <c r="C35" i="30" l="1"/>
  <c r="D35" i="30" s="1"/>
  <c r="AJ34" i="30"/>
  <c r="E35" i="30"/>
  <c r="AH33" i="30"/>
  <c r="I34" i="30"/>
  <c r="C36" i="30" l="1"/>
  <c r="D36" i="30" s="1"/>
  <c r="E36" i="30"/>
  <c r="AJ35" i="30"/>
  <c r="I35" i="30"/>
  <c r="AH34" i="30"/>
  <c r="AH35" i="30" l="1"/>
  <c r="I36" i="30"/>
  <c r="E37" i="30"/>
  <c r="C37" i="30"/>
  <c r="D37" i="30" s="1"/>
  <c r="AJ36" i="30"/>
  <c r="AJ37" i="30" l="1"/>
  <c r="E38" i="30"/>
  <c r="C38" i="30"/>
  <c r="D38" i="30" s="1"/>
  <c r="I37" i="30"/>
  <c r="AH36" i="30"/>
  <c r="C39" i="30" l="1"/>
  <c r="D39" i="30" s="1"/>
  <c r="AJ38" i="30"/>
  <c r="E39" i="30"/>
  <c r="AH37" i="30"/>
  <c r="I38" i="30"/>
  <c r="E40" i="30" l="1"/>
  <c r="C40" i="30"/>
  <c r="D40" i="30" s="1"/>
  <c r="AJ39" i="30"/>
  <c r="AH38" i="30"/>
  <c r="I39" i="30"/>
  <c r="I40" i="30" l="1"/>
  <c r="AH40" i="30" s="1"/>
  <c r="AO5" i="30" s="1"/>
  <c r="G49" i="12" s="1"/>
  <c r="G50" i="12" s="1"/>
  <c r="G55" i="12" s="1"/>
  <c r="G67" i="12" s="1"/>
  <c r="G68" i="12" s="1"/>
  <c r="AH39" i="30"/>
  <c r="AJ40" i="30"/>
  <c r="AO7" i="30" s="1"/>
  <c r="G91" i="12" s="1"/>
  <c r="C41" i="30"/>
  <c r="E41" i="30"/>
  <c r="I41" i="30" l="1"/>
  <c r="D41" i="30"/>
  <c r="E42" i="30"/>
  <c r="AJ41" i="30"/>
  <c r="C42" i="30"/>
  <c r="D42" i="30" s="1"/>
  <c r="G69" i="12"/>
  <c r="G87" i="12"/>
  <c r="G105" i="12" s="1"/>
  <c r="G51" i="12"/>
  <c r="C43" i="30" l="1"/>
  <c r="D43" i="30" s="1"/>
  <c r="AJ42" i="30"/>
  <c r="E43" i="30"/>
  <c r="AH41" i="30"/>
  <c r="I42" i="30"/>
  <c r="G90" i="12"/>
  <c r="G94" i="12"/>
  <c r="G70" i="12"/>
  <c r="G71" i="12" s="1"/>
  <c r="G52" i="12"/>
  <c r="AJ43" i="30" l="1"/>
  <c r="C44" i="30"/>
  <c r="D44" i="30" s="1"/>
  <c r="E44" i="30"/>
  <c r="AH42" i="30"/>
  <c r="I43" i="30"/>
  <c r="H57" i="12"/>
  <c r="G74" i="12"/>
  <c r="G79" i="12" s="1"/>
  <c r="G85" i="12" s="1"/>
  <c r="G95" i="12"/>
  <c r="G104" i="12"/>
  <c r="G99" i="12"/>
  <c r="G101" i="12" s="1"/>
  <c r="H97" i="12" s="1"/>
  <c r="C45" i="30" l="1"/>
  <c r="D45" i="30" s="1"/>
  <c r="AJ44" i="30"/>
  <c r="E45" i="30"/>
  <c r="AH43" i="30"/>
  <c r="I44" i="30"/>
  <c r="G102" i="12"/>
  <c r="G103" i="12" s="1"/>
  <c r="G109" i="12" s="1"/>
  <c r="E46" i="30" l="1"/>
  <c r="AJ45" i="30"/>
  <c r="C46" i="30"/>
  <c r="D46" i="30" s="1"/>
  <c r="AH44" i="30"/>
  <c r="I45" i="30"/>
  <c r="AH45" i="30" l="1"/>
  <c r="I46" i="30"/>
  <c r="E47" i="30"/>
  <c r="C47" i="30"/>
  <c r="D47" i="30" s="1"/>
  <c r="AJ46" i="30"/>
  <c r="C48" i="30" l="1"/>
  <c r="D48" i="30" s="1"/>
  <c r="AJ47" i="30"/>
  <c r="E48" i="30"/>
  <c r="AH46" i="30"/>
  <c r="I47" i="30"/>
  <c r="AJ48" i="30" l="1"/>
  <c r="E49" i="30"/>
  <c r="C49" i="30"/>
  <c r="D49" i="30" s="1"/>
  <c r="I48" i="30"/>
  <c r="AH47" i="30"/>
  <c r="I49" i="30" l="1"/>
  <c r="AH48" i="30"/>
  <c r="AJ49" i="30"/>
  <c r="C50" i="30"/>
  <c r="D50" i="30" s="1"/>
  <c r="E50" i="30"/>
  <c r="C51" i="30" l="1"/>
  <c r="D51" i="30" s="1"/>
  <c r="E51" i="30"/>
  <c r="AJ50" i="30"/>
  <c r="AH49" i="30"/>
  <c r="I50" i="30"/>
  <c r="E52" i="30" l="1"/>
  <c r="C52" i="30"/>
  <c r="D52" i="30" s="1"/>
  <c r="AJ51" i="30"/>
  <c r="AH50" i="30"/>
  <c r="I51" i="30"/>
  <c r="I52" i="30" l="1"/>
  <c r="AH52" i="30" s="1"/>
  <c r="AP5" i="30" s="1"/>
  <c r="H49" i="12" s="1"/>
  <c r="H50" i="12" s="1"/>
  <c r="H55" i="12" s="1"/>
  <c r="H67" i="12" s="1"/>
  <c r="H68" i="12" s="1"/>
  <c r="H87" i="12" s="1"/>
  <c r="AH51" i="30"/>
  <c r="C53" i="30"/>
  <c r="E53" i="30"/>
  <c r="AJ52" i="30"/>
  <c r="AP7" i="30" s="1"/>
  <c r="H91" i="12" s="1"/>
  <c r="H105" i="12" l="1"/>
  <c r="C54" i="30"/>
  <c r="D54" i="30" s="1"/>
  <c r="E54" i="30"/>
  <c r="AJ53" i="30"/>
  <c r="I53" i="30"/>
  <c r="D53" i="30"/>
  <c r="H90" i="12"/>
  <c r="H51" i="12"/>
  <c r="H69" i="12"/>
  <c r="I54" i="30" l="1"/>
  <c r="AH53" i="30"/>
  <c r="AJ54" i="30"/>
  <c r="C55" i="30"/>
  <c r="D55" i="30" s="1"/>
  <c r="E55" i="30"/>
  <c r="H94" i="12"/>
  <c r="H70" i="12"/>
  <c r="H71" i="12" s="1"/>
  <c r="H52" i="12"/>
  <c r="AJ55" i="30" l="1"/>
  <c r="E56" i="30"/>
  <c r="C56" i="30"/>
  <c r="D56" i="30" s="1"/>
  <c r="I55" i="30"/>
  <c r="AH54" i="30"/>
  <c r="H74" i="12"/>
  <c r="H79" i="12" s="1"/>
  <c r="H85" i="12" s="1"/>
  <c r="I57" i="12"/>
  <c r="H95" i="12"/>
  <c r="H99" i="12"/>
  <c r="H101" i="12" s="1"/>
  <c r="I97" i="12" s="1"/>
  <c r="H104" i="12"/>
  <c r="I56" i="30" l="1"/>
  <c r="AH55" i="30"/>
  <c r="E57" i="30"/>
  <c r="C57" i="30"/>
  <c r="D57" i="30" s="1"/>
  <c r="AJ56" i="30"/>
  <c r="H102" i="12"/>
  <c r="H103" i="12" s="1"/>
  <c r="H109" i="12" s="1"/>
  <c r="E58" i="30" l="1"/>
  <c r="C58" i="30"/>
  <c r="D58" i="30" s="1"/>
  <c r="AJ57" i="30"/>
  <c r="I57" i="30"/>
  <c r="AH56" i="30"/>
  <c r="AH57" i="30" l="1"/>
  <c r="I58" i="30"/>
  <c r="C59" i="30"/>
  <c r="D59" i="30" s="1"/>
  <c r="AJ58" i="30"/>
  <c r="E59" i="30"/>
  <c r="AH58" i="30" l="1"/>
  <c r="I59" i="30"/>
  <c r="AJ59" i="30"/>
  <c r="C60" i="30"/>
  <c r="D60" i="30" s="1"/>
  <c r="E60" i="30"/>
  <c r="AH59" i="30" l="1"/>
  <c r="I60" i="30"/>
  <c r="AJ60" i="30"/>
  <c r="C61" i="30"/>
  <c r="D61" i="30" s="1"/>
  <c r="E61" i="30"/>
  <c r="I61" i="30" l="1"/>
  <c r="AH60" i="30"/>
  <c r="AJ61" i="30"/>
  <c r="C62" i="30"/>
  <c r="D62" i="30" s="1"/>
  <c r="E62" i="30"/>
  <c r="E63" i="30" l="1"/>
  <c r="C63" i="30"/>
  <c r="D63" i="30" s="1"/>
  <c r="AJ62" i="30"/>
  <c r="I62" i="30"/>
  <c r="AH61" i="30"/>
  <c r="AH62" i="30" l="1"/>
  <c r="I63" i="30"/>
  <c r="AJ63" i="30"/>
  <c r="E64" i="30"/>
  <c r="C64" i="30"/>
  <c r="D64" i="30" s="1"/>
  <c r="C65" i="30" l="1"/>
  <c r="E65" i="30"/>
  <c r="AJ64" i="30"/>
  <c r="AQ7" i="30" s="1"/>
  <c r="I91" i="12" s="1"/>
  <c r="I64" i="30"/>
  <c r="AH64" i="30" s="1"/>
  <c r="AQ5" i="30" s="1"/>
  <c r="I49" i="12" s="1"/>
  <c r="I50" i="12" s="1"/>
  <c r="I55" i="12" s="1"/>
  <c r="I67" i="12" s="1"/>
  <c r="I68" i="12" s="1"/>
  <c r="I87" i="12" s="1"/>
  <c r="AH63" i="30"/>
  <c r="I105" i="12" l="1"/>
  <c r="C66" i="30"/>
  <c r="D66" i="30" s="1"/>
  <c r="E66" i="30"/>
  <c r="AJ65" i="30"/>
  <c r="I65" i="30"/>
  <c r="D65" i="30"/>
  <c r="I69" i="12"/>
  <c r="I90" i="12"/>
  <c r="I51" i="12"/>
  <c r="I66" i="30" l="1"/>
  <c r="AH65" i="30"/>
  <c r="AJ66" i="30"/>
  <c r="C67" i="30"/>
  <c r="D67" i="30" s="1"/>
  <c r="E67" i="30"/>
  <c r="I94" i="12"/>
  <c r="I70" i="12"/>
  <c r="I71" i="12" s="1"/>
  <c r="I52" i="12"/>
  <c r="AJ67" i="30" l="1"/>
  <c r="C68" i="30"/>
  <c r="D68" i="30" s="1"/>
  <c r="E68" i="30"/>
  <c r="AH66" i="30"/>
  <c r="I67" i="30"/>
  <c r="I95" i="12"/>
  <c r="I99" i="12"/>
  <c r="I101" i="12" s="1"/>
  <c r="J97" i="12" s="1"/>
  <c r="I104" i="12"/>
  <c r="I74" i="12"/>
  <c r="I79" i="12" s="1"/>
  <c r="I85" i="12" s="1"/>
  <c r="J57" i="12"/>
  <c r="C69" i="30" l="1"/>
  <c r="D69" i="30" s="1"/>
  <c r="AJ68" i="30"/>
  <c r="E69" i="30"/>
  <c r="AH67" i="30"/>
  <c r="I68" i="30"/>
  <c r="I102" i="12"/>
  <c r="I103" i="12" s="1"/>
  <c r="I109" i="12" s="1"/>
  <c r="AJ69" i="30" l="1"/>
  <c r="E70" i="30"/>
  <c r="C70" i="30"/>
  <c r="D70" i="30" s="1"/>
  <c r="AH68" i="30"/>
  <c r="I69" i="30"/>
  <c r="E71" i="30" l="1"/>
  <c r="C71" i="30"/>
  <c r="D71" i="30" s="1"/>
  <c r="AJ70" i="30"/>
  <c r="AH69" i="30"/>
  <c r="I70" i="30"/>
  <c r="AH70" i="30" l="1"/>
  <c r="I71" i="30"/>
  <c r="AJ71" i="30"/>
  <c r="C72" i="30"/>
  <c r="D72" i="30" s="1"/>
  <c r="E72" i="30"/>
  <c r="I72" i="30" l="1"/>
  <c r="AH71" i="30"/>
  <c r="AJ72" i="30"/>
  <c r="C73" i="30"/>
  <c r="D73" i="30" s="1"/>
  <c r="E73" i="30"/>
  <c r="E74" i="30" l="1"/>
  <c r="C74" i="30"/>
  <c r="D74" i="30" s="1"/>
  <c r="AJ73" i="30"/>
  <c r="I73" i="30"/>
  <c r="AH72" i="30"/>
  <c r="AH73" i="30" l="1"/>
  <c r="I74" i="30"/>
  <c r="C75" i="30"/>
  <c r="D75" i="30" s="1"/>
  <c r="E75" i="30"/>
  <c r="AJ74" i="30"/>
  <c r="C76" i="30" l="1"/>
  <c r="D76" i="30" s="1"/>
  <c r="E76" i="30"/>
  <c r="AJ75" i="30"/>
  <c r="I75" i="30"/>
  <c r="AH74" i="30"/>
  <c r="C77" i="30" l="1"/>
  <c r="E77" i="30"/>
  <c r="AJ76" i="30"/>
  <c r="AR7" i="30" s="1"/>
  <c r="J91" i="12" s="1"/>
  <c r="I76" i="30"/>
  <c r="AH76" i="30" s="1"/>
  <c r="AR5" i="30" s="1"/>
  <c r="J49" i="12" s="1"/>
  <c r="J50" i="12" s="1"/>
  <c r="J55" i="12" s="1"/>
  <c r="J67" i="12" s="1"/>
  <c r="J68" i="12" s="1"/>
  <c r="J87" i="12" s="1"/>
  <c r="AH75" i="30"/>
  <c r="J105" i="12" l="1"/>
  <c r="AJ77" i="30"/>
  <c r="C78" i="30"/>
  <c r="D78" i="30" s="1"/>
  <c r="E78" i="30"/>
  <c r="D77" i="30"/>
  <c r="I77" i="30"/>
  <c r="J90" i="12"/>
  <c r="J51" i="12"/>
  <c r="J69" i="12"/>
  <c r="AJ78" i="30" l="1"/>
  <c r="E79" i="30"/>
  <c r="C79" i="30"/>
  <c r="D79" i="30" s="1"/>
  <c r="AH77" i="30"/>
  <c r="I78" i="30"/>
  <c r="J94" i="12"/>
  <c r="J70" i="12"/>
  <c r="J71" i="12" s="1"/>
  <c r="J52" i="12"/>
  <c r="E80" i="30" l="1"/>
  <c r="AJ79" i="30"/>
  <c r="C80" i="30"/>
  <c r="D80" i="30" s="1"/>
  <c r="I79" i="30"/>
  <c r="AH78" i="30"/>
  <c r="J74" i="12"/>
  <c r="J79" i="12" s="1"/>
  <c r="J85" i="12" s="1"/>
  <c r="K57" i="12"/>
  <c r="J95" i="12"/>
  <c r="J104" i="12"/>
  <c r="J99" i="12"/>
  <c r="J101" i="12" s="1"/>
  <c r="K97" i="12" s="1"/>
  <c r="I80" i="30" l="1"/>
  <c r="AH79" i="30"/>
  <c r="AJ80" i="30"/>
  <c r="C81" i="30"/>
  <c r="D81" i="30" s="1"/>
  <c r="E81" i="30"/>
  <c r="J102" i="12"/>
  <c r="J103" i="12" s="1"/>
  <c r="J109" i="12" s="1"/>
  <c r="C82" i="30" l="1"/>
  <c r="D82" i="30" s="1"/>
  <c r="AJ81" i="30"/>
  <c r="E82" i="30"/>
  <c r="AH80" i="30"/>
  <c r="I81" i="30"/>
  <c r="E83" i="30" l="1"/>
  <c r="AJ82" i="30"/>
  <c r="C83" i="30"/>
  <c r="D83" i="30" s="1"/>
  <c r="I82" i="30"/>
  <c r="AH81" i="30"/>
  <c r="AH82" i="30" l="1"/>
  <c r="I83" i="30"/>
  <c r="AJ83" i="30"/>
  <c r="E84" i="30"/>
  <c r="C84" i="30"/>
  <c r="D84" i="30" s="1"/>
  <c r="C85" i="30" l="1"/>
  <c r="D85" i="30" s="1"/>
  <c r="E85" i="30"/>
  <c r="AJ84" i="30"/>
  <c r="AH83" i="30"/>
  <c r="I84" i="30"/>
  <c r="C86" i="30" l="1"/>
  <c r="D86" i="30" s="1"/>
  <c r="AJ85" i="30"/>
  <c r="E86" i="30"/>
  <c r="I85" i="30"/>
  <c r="AH84" i="30"/>
  <c r="C87" i="30" l="1"/>
  <c r="D87" i="30" s="1"/>
  <c r="E87" i="30"/>
  <c r="AJ86" i="30"/>
  <c r="I86" i="30"/>
  <c r="AH85" i="30"/>
  <c r="AH86" i="30" l="1"/>
  <c r="I87" i="30"/>
  <c r="C88" i="30"/>
  <c r="D88" i="30" s="1"/>
  <c r="E88" i="30"/>
  <c r="AJ87" i="30"/>
  <c r="AJ88" i="30" l="1"/>
  <c r="AS7" i="30" s="1"/>
  <c r="K91" i="12" s="1"/>
  <c r="E89" i="30"/>
  <c r="C89" i="30"/>
  <c r="I88" i="30"/>
  <c r="AH88" i="30" s="1"/>
  <c r="AS5" i="30" s="1"/>
  <c r="K49" i="12" s="1"/>
  <c r="K50" i="12" s="1"/>
  <c r="K55" i="12" s="1"/>
  <c r="K67" i="12" s="1"/>
  <c r="K68" i="12" s="1"/>
  <c r="K87" i="12" s="1"/>
  <c r="AH87" i="30"/>
  <c r="K105" i="12" l="1"/>
  <c r="I89" i="30"/>
  <c r="D89" i="30"/>
  <c r="E90" i="30"/>
  <c r="AJ89" i="30"/>
  <c r="C90" i="30"/>
  <c r="D90" i="30" s="1"/>
  <c r="K69" i="12"/>
  <c r="K90" i="12"/>
  <c r="K51" i="12"/>
  <c r="E91" i="30" l="1"/>
  <c r="AJ90" i="30"/>
  <c r="C91" i="30"/>
  <c r="D91" i="30" s="1"/>
  <c r="AH89" i="30"/>
  <c r="I90" i="30"/>
  <c r="K70" i="12"/>
  <c r="K71" i="12" s="1"/>
  <c r="K52" i="12"/>
  <c r="K94" i="12"/>
  <c r="AH90" i="30" l="1"/>
  <c r="I91" i="30"/>
  <c r="AJ91" i="30"/>
  <c r="C92" i="30"/>
  <c r="D92" i="30" s="1"/>
  <c r="E92" i="30"/>
  <c r="K95" i="12"/>
  <c r="K104" i="12"/>
  <c r="K99" i="12"/>
  <c r="K101" i="12" s="1"/>
  <c r="L97" i="12" s="1"/>
  <c r="K74" i="12"/>
  <c r="K79" i="12" s="1"/>
  <c r="K85" i="12" s="1"/>
  <c r="L57" i="12"/>
  <c r="AH91" i="30" l="1"/>
  <c r="I92" i="30"/>
  <c r="AJ92" i="30"/>
  <c r="E93" i="30"/>
  <c r="C93" i="30"/>
  <c r="D93" i="30" s="1"/>
  <c r="K102" i="12"/>
  <c r="K103" i="12" s="1"/>
  <c r="K109" i="12" s="1"/>
  <c r="I93" i="30" l="1"/>
  <c r="AH92" i="30"/>
  <c r="E94" i="30"/>
  <c r="C94" i="30"/>
  <c r="D94" i="30" s="1"/>
  <c r="AJ93" i="30"/>
  <c r="E95" i="30" l="1"/>
  <c r="AJ94" i="30"/>
  <c r="C95" i="30"/>
  <c r="D95" i="30" s="1"/>
  <c r="AH93" i="30"/>
  <c r="I94" i="30"/>
  <c r="AH94" i="30" l="1"/>
  <c r="I95" i="30"/>
  <c r="AJ95" i="30"/>
  <c r="C96" i="30"/>
  <c r="D96" i="30" s="1"/>
  <c r="E96" i="30"/>
  <c r="I96" i="30" l="1"/>
  <c r="AH95" i="30"/>
  <c r="C97" i="30"/>
  <c r="D97" i="30" s="1"/>
  <c r="E97" i="30"/>
  <c r="AJ96" i="30"/>
  <c r="C98" i="30" l="1"/>
  <c r="D98" i="30" s="1"/>
  <c r="AJ97" i="30"/>
  <c r="E98" i="30"/>
  <c r="AH96" i="30"/>
  <c r="I97" i="30"/>
  <c r="E99" i="30" l="1"/>
  <c r="AJ98" i="30"/>
  <c r="C99" i="30"/>
  <c r="D99" i="30" s="1"/>
  <c r="AH97" i="30"/>
  <c r="I98" i="30"/>
  <c r="AH98" i="30" l="1"/>
  <c r="I99" i="30"/>
  <c r="C100" i="30"/>
  <c r="D100" i="30" s="1"/>
  <c r="E100" i="30"/>
  <c r="AJ99" i="30"/>
  <c r="AJ100" i="30" l="1"/>
  <c r="AT7" i="30" s="1"/>
  <c r="L91" i="12" s="1"/>
  <c r="E101" i="30"/>
  <c r="C101" i="30"/>
  <c r="AH99" i="30"/>
  <c r="I100" i="30"/>
  <c r="AH100" i="30" s="1"/>
  <c r="AT5" i="30" s="1"/>
  <c r="L49" i="12" s="1"/>
  <c r="L50" i="12" s="1"/>
  <c r="L55" i="12" s="1"/>
  <c r="L67" i="12" s="1"/>
  <c r="L68" i="12" s="1"/>
  <c r="L87" i="12" s="1"/>
  <c r="L105" i="12" l="1"/>
  <c r="I101" i="30"/>
  <c r="D101" i="30"/>
  <c r="E102" i="30"/>
  <c r="C102" i="30"/>
  <c r="D102" i="30" s="1"/>
  <c r="AJ101" i="30"/>
  <c r="L90" i="12"/>
  <c r="L51" i="12"/>
  <c r="L69" i="12"/>
  <c r="AJ102" i="30" l="1"/>
  <c r="C103" i="30"/>
  <c r="D103" i="30" s="1"/>
  <c r="E103" i="30"/>
  <c r="I102" i="30"/>
  <c r="AH101" i="30"/>
  <c r="L94" i="12"/>
  <c r="L70" i="12"/>
  <c r="L71" i="12" s="1"/>
  <c r="L52" i="12"/>
  <c r="C104" i="30" l="1"/>
  <c r="D104" i="30" s="1"/>
  <c r="E104" i="30"/>
  <c r="AJ103" i="30"/>
  <c r="AH102" i="30"/>
  <c r="I103" i="30"/>
  <c r="L74" i="12"/>
  <c r="L79" i="12" s="1"/>
  <c r="L85" i="12" s="1"/>
  <c r="M57" i="12"/>
  <c r="L99" i="12"/>
  <c r="L101" i="12" s="1"/>
  <c r="M97" i="12" s="1"/>
  <c r="L104" i="12"/>
  <c r="L95" i="12"/>
  <c r="I104" i="30" l="1"/>
  <c r="AH103" i="30"/>
  <c r="E105" i="30"/>
  <c r="C105" i="30"/>
  <c r="D105" i="30" s="1"/>
  <c r="AJ104" i="30"/>
  <c r="L102" i="12"/>
  <c r="L103" i="12" s="1"/>
  <c r="L109" i="12" s="1"/>
  <c r="C106" i="30" l="1"/>
  <c r="D106" i="30" s="1"/>
  <c r="E106" i="30"/>
  <c r="AJ105" i="30"/>
  <c r="I105" i="30"/>
  <c r="AH104" i="30"/>
  <c r="AH105" i="30" l="1"/>
  <c r="I106" i="30"/>
  <c r="E107" i="30"/>
  <c r="C107" i="30"/>
  <c r="D107" i="30" s="1"/>
  <c r="AJ106" i="30"/>
  <c r="AJ107" i="30" l="1"/>
  <c r="C108" i="30"/>
  <c r="D108" i="30" s="1"/>
  <c r="E108" i="30"/>
  <c r="I107" i="30"/>
  <c r="AH106" i="30"/>
  <c r="I108" i="30" l="1"/>
  <c r="AH107" i="30"/>
  <c r="C109" i="30"/>
  <c r="D109" i="30" s="1"/>
  <c r="AJ108" i="30"/>
  <c r="E109" i="30"/>
  <c r="E110" i="30" l="1"/>
  <c r="AJ109" i="30"/>
  <c r="C110" i="30"/>
  <c r="D110" i="30" s="1"/>
  <c r="I109" i="30"/>
  <c r="AH108" i="30"/>
  <c r="AH109" i="30" l="1"/>
  <c r="I110" i="30"/>
  <c r="C111" i="30"/>
  <c r="D111" i="30" s="1"/>
  <c r="AJ110" i="30"/>
  <c r="E111" i="30"/>
  <c r="AJ111" i="30" l="1"/>
  <c r="E112" i="30"/>
  <c r="C112" i="30"/>
  <c r="D112" i="30" s="1"/>
  <c r="AH110" i="30"/>
  <c r="I111" i="30"/>
  <c r="AJ112" i="30" l="1"/>
  <c r="AU7" i="30" s="1"/>
  <c r="M91" i="12" s="1"/>
  <c r="E113" i="30"/>
  <c r="C113" i="30"/>
  <c r="AH111" i="30"/>
  <c r="I112" i="30"/>
  <c r="AH112" i="30" s="1"/>
  <c r="AU5" i="30" s="1"/>
  <c r="M49" i="12" s="1"/>
  <c r="M50" i="12" s="1"/>
  <c r="M55" i="12" s="1"/>
  <c r="M67" i="12" s="1"/>
  <c r="M68" i="12" s="1"/>
  <c r="M87" i="12" s="1"/>
  <c r="M105" i="12" l="1"/>
  <c r="I113" i="30"/>
  <c r="D113" i="30"/>
  <c r="AJ113" i="30"/>
  <c r="E114" i="30"/>
  <c r="C114" i="30"/>
  <c r="D114" i="30" s="1"/>
  <c r="M90" i="12"/>
  <c r="M51" i="12"/>
  <c r="M69" i="12"/>
  <c r="C115" i="30" l="1"/>
  <c r="D115" i="30" s="1"/>
  <c r="AJ114" i="30"/>
  <c r="E115" i="30"/>
  <c r="AH113" i="30"/>
  <c r="I114" i="30"/>
  <c r="M94" i="12"/>
  <c r="M70" i="12"/>
  <c r="M71" i="12" s="1"/>
  <c r="M52" i="12"/>
  <c r="C116" i="30" l="1"/>
  <c r="D116" i="30" s="1"/>
  <c r="AJ115" i="30"/>
  <c r="E116" i="30"/>
  <c r="I115" i="30"/>
  <c r="AH114" i="30"/>
  <c r="M74" i="12"/>
  <c r="M79" i="12" s="1"/>
  <c r="M85" i="12" s="1"/>
  <c r="N57" i="12"/>
  <c r="M95" i="12"/>
  <c r="M99" i="12"/>
  <c r="M101" i="12" s="1"/>
  <c r="N97" i="12" s="1"/>
  <c r="M104" i="12"/>
  <c r="AH115" i="30" l="1"/>
  <c r="I116" i="30"/>
  <c r="C117" i="30"/>
  <c r="D117" i="30" s="1"/>
  <c r="AJ116" i="30"/>
  <c r="E117" i="30"/>
  <c r="M102" i="12"/>
  <c r="M103" i="12" s="1"/>
  <c r="M109" i="12" s="1"/>
  <c r="I117" i="30" l="1"/>
  <c r="AH116" i="30"/>
  <c r="AJ117" i="30"/>
  <c r="C118" i="30"/>
  <c r="D118" i="30" s="1"/>
  <c r="E118" i="30"/>
  <c r="AJ118" i="30" l="1"/>
  <c r="C119" i="30"/>
  <c r="D119" i="30" s="1"/>
  <c r="E119" i="30"/>
  <c r="I118" i="30"/>
  <c r="AH117" i="30"/>
  <c r="I119" i="30" l="1"/>
  <c r="AH118" i="30"/>
  <c r="AJ119" i="30"/>
  <c r="E120" i="30"/>
  <c r="C120" i="30"/>
  <c r="D120" i="30" s="1"/>
  <c r="E121" i="30" l="1"/>
  <c r="AJ120" i="30"/>
  <c r="C121" i="30"/>
  <c r="D121" i="30" s="1"/>
  <c r="AH119" i="30"/>
  <c r="I120" i="30"/>
  <c r="I121" i="30" l="1"/>
  <c r="AH120" i="30"/>
  <c r="E122" i="30"/>
  <c r="AJ121" i="30"/>
  <c r="C122" i="30"/>
  <c r="D122" i="30" s="1"/>
  <c r="E123" i="30" l="1"/>
  <c r="C123" i="30"/>
  <c r="D123" i="30" s="1"/>
  <c r="AJ122" i="30"/>
  <c r="I122" i="30"/>
  <c r="AH121" i="30"/>
  <c r="I123" i="30" l="1"/>
  <c r="AH122" i="30"/>
  <c r="AJ123" i="30"/>
  <c r="C124" i="30"/>
  <c r="D124" i="30" s="1"/>
  <c r="D125" i="30" s="1"/>
  <c r="E124" i="30"/>
  <c r="AJ124" i="30" s="1"/>
  <c r="AV7" i="30" s="1"/>
  <c r="N91" i="12" s="1"/>
  <c r="C125" i="30" l="1"/>
  <c r="AH123" i="30"/>
  <c r="I124" i="30"/>
  <c r="AH124" i="30" s="1"/>
  <c r="AV5" i="30" s="1"/>
  <c r="N49" i="12" s="1"/>
  <c r="N50" i="12" s="1"/>
  <c r="N55" i="12" s="1"/>
  <c r="N67" i="12" s="1"/>
  <c r="N68" i="12" s="1"/>
  <c r="N87" i="12" s="1"/>
  <c r="N90" i="12" l="1"/>
  <c r="O7" i="35" s="1"/>
  <c r="N105" i="12"/>
  <c r="O8" i="35"/>
  <c r="N69" i="12"/>
  <c r="N51" i="12"/>
  <c r="N94" i="12" l="1"/>
  <c r="N70" i="12"/>
  <c r="N71" i="12" s="1"/>
  <c r="N74" i="12" s="1"/>
  <c r="N52" i="12"/>
  <c r="N99" i="12" l="1"/>
  <c r="N101" i="12" s="1"/>
  <c r="O9" i="35" s="1"/>
  <c r="O10" i="35" s="1"/>
  <c r="N104" i="12"/>
  <c r="N79" i="12"/>
  <c r="M6" i="35"/>
  <c r="N95" i="12"/>
  <c r="N102" i="12" l="1"/>
  <c r="N85" i="12"/>
  <c r="M8" i="35"/>
  <c r="M10" i="35" s="1"/>
  <c r="N103" i="12" l="1"/>
  <c r="N109" i="12" s="1"/>
</calcChain>
</file>

<file path=xl/comments1.xml><?xml version="1.0" encoding="utf-8"?>
<comments xmlns="http://schemas.openxmlformats.org/spreadsheetml/2006/main">
  <authors>
    <author>User</author>
  </authors>
  <commentList>
    <comment ref="C3" authorId="0">
      <text>
        <r>
          <rPr>
            <b/>
            <sz val="9"/>
            <color indexed="81"/>
            <rFont val="MS P ゴシック"/>
            <family val="3"/>
            <charset val="128"/>
          </rPr>
          <t>〇10歳年取ったときに、どのようになっているかを知っていただくため、事業開始のときの年齢を記入ください。</t>
        </r>
      </text>
    </comment>
    <comment ref="G5" authorId="0">
      <text>
        <r>
          <rPr>
            <b/>
            <sz val="9"/>
            <color indexed="81"/>
            <rFont val="MS P ゴシック"/>
            <family val="3"/>
            <charset val="128"/>
          </rPr>
          <t>調達品シートに記載した調達品の価格です。</t>
        </r>
      </text>
    </comment>
    <comment ref="J5" authorId="0">
      <text>
        <r>
          <rPr>
            <b/>
            <sz val="9"/>
            <color indexed="81"/>
            <rFont val="MS P ゴシック"/>
            <family val="3"/>
            <charset val="128"/>
          </rPr>
          <t>〇自己資金(元入金)と左の減価償却資産(調達品シートで記載)との差は借入金と自動的にしてあります。</t>
        </r>
      </text>
    </comment>
    <comment ref="E8" authorId="0">
      <text>
        <r>
          <rPr>
            <b/>
            <sz val="9"/>
            <color indexed="81"/>
            <rFont val="MS P ゴシック"/>
            <family val="3"/>
            <charset val="128"/>
          </rPr>
          <t xml:space="preserve">〇予定する自己資金を記載ください。
〇調達品シートに記載する調達経費との差は借入金に自動的にします。
</t>
        </r>
      </text>
    </comment>
    <comment ref="I10" authorId="0">
      <text>
        <r>
          <rPr>
            <b/>
            <sz val="9"/>
            <color indexed="81"/>
            <rFont val="MS P ゴシック"/>
            <family val="3"/>
            <charset val="128"/>
          </rPr>
          <t>〇多くの創業者が使い金利も安い日本政策金融公庫を想定しました。</t>
        </r>
      </text>
    </comment>
    <comment ref="I11" authorId="0">
      <text>
        <r>
          <rPr>
            <b/>
            <sz val="9"/>
            <color indexed="81"/>
            <rFont val="MS P ゴシック"/>
            <family val="3"/>
            <charset val="128"/>
          </rPr>
          <t xml:space="preserve">無理なく返済できるよう、60、84、120などを入力してみてください。
</t>
        </r>
      </text>
    </comment>
    <comment ref="I12" authorId="0">
      <text>
        <r>
          <rPr>
            <b/>
            <sz val="9"/>
            <color indexed="81"/>
            <rFont val="MS P ゴシック"/>
            <family val="3"/>
            <charset val="128"/>
          </rPr>
          <t xml:space="preserve">売上が十分ない中で返済がおきないよう、3、6、12などの数値を入れてみてください。
</t>
        </r>
      </text>
    </comment>
  </commentList>
</comments>
</file>

<file path=xl/comments2.xml><?xml version="1.0" encoding="utf-8"?>
<comments xmlns="http://schemas.openxmlformats.org/spreadsheetml/2006/main">
  <authors>
    <author>User</author>
    <author>Goto</author>
  </authors>
  <commentList>
    <comment ref="B8" authorId="0">
      <text>
        <r>
          <rPr>
            <sz val="10"/>
            <color indexed="81"/>
            <rFont val="MS P ゴシック"/>
            <family val="3"/>
            <charset val="128"/>
          </rPr>
          <t xml:space="preserve">①例えば0.8と入力すると1期目から一律0.8売上ダウンします。
②20％減少しても、評価・判断シートのグラフでは借入金が減少して純資産が多くなり交わることを目標にしてみてください。
また、30％減少した場合、何らかの対応ができるよう予め考えてみてください。
③これは8行目の{売上」に対しての増減となります。もし、他の行についても影響させたい場合は、8行目の何％増減させるなど絡めた形で数値を掲載ください。
</t>
        </r>
      </text>
    </comment>
    <comment ref="C8" authorId="0">
      <text>
        <r>
          <rPr>
            <sz val="10"/>
            <color indexed="81"/>
            <rFont val="MS P ゴシック"/>
            <family val="3"/>
            <charset val="128"/>
          </rPr>
          <t>例えば、-0.1と入力すると、前期に対して-0.1分減少します。
※人口減少により減少する等に使います。</t>
        </r>
      </text>
    </comment>
    <comment ref="O19" authorId="0">
      <text>
        <r>
          <rPr>
            <b/>
            <sz val="9"/>
            <color indexed="81"/>
            <rFont val="MS P ゴシック"/>
            <family val="3"/>
            <charset val="128"/>
          </rPr>
          <t>これは、10年目の期末在庫ためのダミー欄です。</t>
        </r>
      </text>
    </comment>
    <comment ref="C21" authorId="0">
      <text>
        <r>
          <rPr>
            <b/>
            <sz val="9"/>
            <color indexed="81"/>
            <rFont val="MS P ゴシック"/>
            <family val="3"/>
            <charset val="128"/>
          </rPr>
          <t xml:space="preserve">今は、C20セルの原価率とリンクしています。新たな原価率を設定する場合は、上書きください。
</t>
        </r>
      </text>
    </comment>
    <comment ref="B51" authorId="1">
      <text>
        <r>
          <rPr>
            <b/>
            <sz val="9"/>
            <color indexed="81"/>
            <rFont val="ＭＳ Ｐゴシック"/>
            <family val="3"/>
            <charset val="128"/>
          </rPr>
          <t>不足金は、自動的に新規借入金となります。その際の金利を想定して記入します。
※利息率は仮設定です。上書きで変更可能です。</t>
        </r>
      </text>
    </comment>
    <comment ref="B54" authorId="0">
      <text>
        <r>
          <rPr>
            <b/>
            <sz val="9"/>
            <color indexed="81"/>
            <rFont val="MS P ゴシック"/>
            <family val="3"/>
            <charset val="128"/>
          </rPr>
          <t xml:space="preserve">どこから資金をもってきて(黒のプラス数値)、どこへ使ったか(赤のマイナス数値)を特にみてください。設備投資は長期借入金と定期預金などの余裕資金、経営外支出は利益を源泉とすることが原則です。
</t>
        </r>
      </text>
    </comment>
    <comment ref="E57" authorId="0">
      <text>
        <r>
          <rPr>
            <b/>
            <sz val="9"/>
            <color indexed="81"/>
            <rFont val="MS P ゴシック"/>
            <family val="3"/>
            <charset val="128"/>
          </rPr>
          <t xml:space="preserve">「調達品」シートのH118セルから自動転記
</t>
        </r>
      </text>
    </comment>
    <comment ref="H61" authorId="0">
      <text>
        <r>
          <rPr>
            <b/>
            <sz val="9"/>
            <color indexed="81"/>
            <rFont val="MS P ゴシック"/>
            <family val="3"/>
            <charset val="128"/>
          </rPr>
          <t>新製品用設備を設置
※仮に、減価償却はしません。
※このための借入金など資金調達は、何もしなくとも68行目の新規借入金と自動的になります。(資金不足は借入金となるように設定のため)</t>
        </r>
      </text>
    </comment>
    <comment ref="C76" authorId="1">
      <text>
        <r>
          <rPr>
            <b/>
            <sz val="9"/>
            <color indexed="81"/>
            <rFont val="ＭＳ Ｐゴシック"/>
            <family val="3"/>
            <charset val="128"/>
          </rPr>
          <t>〇突発的なことをにも配慮して、過不足なく営業するには、何日分の在庫が理想的ですか？　　(月単位で記載)　25日分　25/30≒0.83　　　　　　　翌月売上高分　≒1　　シーズン分　≒3
※この在庫分は買掛金に加えられ支払うことになります。</t>
        </r>
      </text>
    </comment>
    <comment ref="A87" authorId="1">
      <text>
        <r>
          <rPr>
            <b/>
            <sz val="9"/>
            <color indexed="81"/>
            <rFont val="ＭＳ Ｐゴシック"/>
            <family val="3"/>
            <charset val="128"/>
          </rPr>
          <t>資金不足分は自動的に借入金となるようになっています。
※例えば、能力以上の返済は、ここで再借入金となります。</t>
        </r>
      </text>
    </comment>
    <comment ref="B103" authorId="1">
      <text>
        <r>
          <rPr>
            <b/>
            <sz val="9"/>
            <color indexed="10"/>
            <rFont val="ＭＳ Ｐゴシック"/>
            <family val="3"/>
            <charset val="128"/>
          </rPr>
          <t>ここが「0」となっていない場合は、どこかに貸借バランスを欠く入力があります。
※端数調整の差異で±2位なら可</t>
        </r>
        <r>
          <rPr>
            <b/>
            <sz val="9"/>
            <color indexed="81"/>
            <rFont val="ＭＳ Ｐゴシック"/>
            <family val="3"/>
            <charset val="128"/>
          </rPr>
          <t xml:space="preserve">
</t>
        </r>
      </text>
    </comment>
    <comment ref="B104" authorId="0">
      <text>
        <r>
          <rPr>
            <b/>
            <sz val="9"/>
            <color indexed="81"/>
            <rFont val="MS P ゴシック"/>
            <family val="3"/>
            <charset val="128"/>
          </rPr>
          <t>起業者が一番使うであろう日本政策金融公庫の見方を掲載してあります。
ここの数値が"10"以上となると返済能力は危険な経営となる判断のようです。
※赤字の場合は「不可」と表示してあります。</t>
        </r>
      </text>
    </comment>
  </commentList>
</comments>
</file>

<file path=xl/comments3.xml><?xml version="1.0" encoding="utf-8"?>
<comments xmlns="http://schemas.openxmlformats.org/spreadsheetml/2006/main">
  <authors>
    <author>User</author>
    <author>Goto</author>
  </authors>
  <commentList>
    <comment ref="A3" authorId="0">
      <text>
        <r>
          <rPr>
            <b/>
            <sz val="9"/>
            <color indexed="81"/>
            <rFont val="MS P ゴシック"/>
            <family val="3"/>
            <charset val="128"/>
          </rPr>
          <t>◎合計が必ず「120０」となるように増減してください。</t>
        </r>
      </text>
    </comment>
    <comment ref="C5" authorId="0">
      <text>
        <r>
          <rPr>
            <b/>
            <sz val="9"/>
            <color indexed="81"/>
            <rFont val="MS P ゴシック"/>
            <family val="3"/>
            <charset val="128"/>
          </rPr>
          <t>例えば、「0.５」とは売上の半分が現金売上ということです。</t>
        </r>
      </text>
    </comment>
    <comment ref="C7" authorId="1">
      <text>
        <r>
          <rPr>
            <b/>
            <sz val="9"/>
            <color indexed="81"/>
            <rFont val="ＭＳ Ｐゴシック"/>
            <family val="3"/>
            <charset val="128"/>
          </rPr>
          <t xml:space="preserve">1＝翌月回収
2＝翌々月回収
3＝翌々々回収
</t>
        </r>
      </text>
    </comment>
    <comment ref="P8" authorId="0">
      <text>
        <r>
          <rPr>
            <b/>
            <sz val="9"/>
            <color indexed="81"/>
            <rFont val="MS P ゴシック"/>
            <family val="3"/>
            <charset val="128"/>
          </rPr>
          <t>仕入＋在庫</t>
        </r>
      </text>
    </comment>
    <comment ref="C11" authorId="1">
      <text>
        <r>
          <rPr>
            <b/>
            <sz val="9"/>
            <color indexed="81"/>
            <rFont val="ＭＳ Ｐゴシック"/>
            <family val="3"/>
            <charset val="128"/>
          </rPr>
          <t xml:space="preserve">１＝翌月支払い
2＝翌々月支払
3＝翌々々月支払
</t>
        </r>
      </text>
    </comment>
    <comment ref="P12" authorId="0">
      <text>
        <r>
          <rPr>
            <b/>
            <sz val="9"/>
            <color indexed="81"/>
            <rFont val="MS P ゴシック"/>
            <family val="3"/>
            <charset val="128"/>
          </rPr>
          <t>経費合計から、お金が出ていかない減価償却を控除</t>
        </r>
      </text>
    </comment>
    <comment ref="A34" authorId="0">
      <text>
        <r>
          <rPr>
            <b/>
            <sz val="9"/>
            <color indexed="81"/>
            <rFont val="MS P ゴシック"/>
            <family val="3"/>
            <charset val="128"/>
          </rPr>
          <t>◎事業主からの借り入れ欄です。D39セルがマイナスの場合は、同額以上の数値を入れてください。
※以下同様です。</t>
        </r>
      </text>
    </comment>
    <comment ref="A40" authorId="0">
      <text>
        <r>
          <rPr>
            <b/>
            <sz val="9"/>
            <color indexed="81"/>
            <rFont val="MS P ゴシック"/>
            <family val="3"/>
            <charset val="128"/>
          </rPr>
          <t xml:space="preserve">◎事業主へ返済する欄です。
12月末の現金を合わせる必要があるため、「事業主借」と同額を12月末までに返してもらってください。
</t>
        </r>
      </text>
    </comment>
  </commentList>
</comments>
</file>

<file path=xl/comments4.xml><?xml version="1.0" encoding="utf-8"?>
<comments xmlns="http://schemas.openxmlformats.org/spreadsheetml/2006/main">
  <authors>
    <author>User</author>
  </authors>
  <commentList>
    <comment ref="C2" authorId="0">
      <text>
        <r>
          <rPr>
            <b/>
            <sz val="9"/>
            <color indexed="81"/>
            <rFont val="MS P ゴシック"/>
            <family val="3"/>
            <charset val="128"/>
          </rPr>
          <t>個別単価×点数と考えてください。</t>
        </r>
      </text>
    </comment>
    <comment ref="H2" authorId="0">
      <text>
        <r>
          <rPr>
            <b/>
            <sz val="9"/>
            <color indexed="81"/>
            <rFont val="MS P ゴシック"/>
            <family val="3"/>
            <charset val="128"/>
          </rPr>
          <t>〇数値のあるセルだけを乗算するようになっています。
〇客数は、新規客と既存客の合計です。細かく分けることが販売促進策の具体化につながります。</t>
        </r>
      </text>
    </comment>
    <comment ref="M2" authorId="0">
      <text>
        <r>
          <rPr>
            <b/>
            <sz val="9"/>
            <color indexed="81"/>
            <rFont val="MS P ゴシック"/>
            <family val="3"/>
            <charset val="128"/>
          </rPr>
          <t xml:space="preserve">わからない場合は、欄外の「粗利益率」や「経費」がわからない場合…をご覧ください。
</t>
        </r>
      </text>
    </comment>
    <comment ref="O2" authorId="0">
      <text>
        <r>
          <rPr>
            <b/>
            <sz val="9"/>
            <color indexed="81"/>
            <rFont val="MS P ゴシック"/>
            <family val="3"/>
            <charset val="128"/>
          </rPr>
          <t>ここに科目名を記載すると、「経費の積算」シートへ名称と合計額がリンクされています。</t>
        </r>
      </text>
    </comment>
    <comment ref="I3" authorId="0">
      <text>
        <r>
          <rPr>
            <b/>
            <sz val="9"/>
            <color indexed="81"/>
            <rFont val="MS P ゴシック"/>
            <family val="3"/>
            <charset val="128"/>
          </rPr>
          <t>おおよその顧客の実数を知る欄です。「12」は月一回利用してもらう意味です。
数値を入れた欄だけが⑧欄に実数が出ます。できるだけ重複が内容にしながら経営全体の顧客数を把握ください。
これを把握することによって既存客と新規客への販売促進策を違わせることなどに活用できます。</t>
        </r>
      </text>
    </comment>
    <comment ref="B29" authorId="0">
      <text>
        <r>
          <rPr>
            <b/>
            <sz val="9"/>
            <color indexed="81"/>
            <rFont val="MS P ゴシック"/>
            <family val="3"/>
            <charset val="128"/>
          </rPr>
          <t xml:space="preserve">次の理由がある場合は、とりあえず一括計上して後日少しずつ精度の高いものにしていきます。
①下の「売上高、粗利益率、経費額の目安がつかない場合」の例により作成する場合
②「誰に」「何を」「幾らで」と考える前に、売上高を変えながらシミュレーションしてみたい場合
③例として入力ある売上高に加減する形でシミュレーションを進めたい場合
</t>
        </r>
      </text>
    </comment>
    <comment ref="N30" authorId="0">
      <text>
        <r>
          <rPr>
            <b/>
            <sz val="9"/>
            <color indexed="81"/>
            <rFont val="MS P ゴシック"/>
            <family val="3"/>
            <charset val="128"/>
          </rPr>
          <t xml:space="preserve">決算すると出てくる全体の総利益率です。複数の利益率の組み合わせて決まります。売上積算は、売上高の確保と利益率の違うメニューの組み合わせによる利益率のアップが目標となります。
</t>
        </r>
      </text>
    </comment>
    <comment ref="K33" authorId="0">
      <text>
        <r>
          <rPr>
            <b/>
            <sz val="9"/>
            <color indexed="81"/>
            <rFont val="MS P ゴシック"/>
            <family val="3"/>
            <charset val="128"/>
          </rPr>
          <t>固定費シートのf2セルとリンク</t>
        </r>
      </text>
    </comment>
  </commentList>
</comments>
</file>

<file path=xl/comments5.xml><?xml version="1.0" encoding="utf-8"?>
<comments xmlns="http://schemas.openxmlformats.org/spreadsheetml/2006/main">
  <authors>
    <author>User</author>
  </authors>
  <commentList>
    <comment ref="F2" authorId="0">
      <text>
        <r>
          <rPr>
            <b/>
            <sz val="9"/>
            <color indexed="81"/>
            <rFont val="MS P ゴシック"/>
            <family val="3"/>
            <charset val="128"/>
          </rPr>
          <t>この「12」の数値を変更しないでください。</t>
        </r>
      </text>
    </comment>
    <comment ref="G2" authorId="0">
      <text>
        <r>
          <rPr>
            <b/>
            <sz val="9"/>
            <color indexed="81"/>
            <rFont val="MS P ゴシック"/>
            <family val="3"/>
            <charset val="128"/>
          </rPr>
          <t>翌期の初月を記載ください。
ここでは、1月としておいてください。</t>
        </r>
      </text>
    </comment>
    <comment ref="B27" authorId="0">
      <text>
        <r>
          <rPr>
            <b/>
            <sz val="9"/>
            <color indexed="81"/>
            <rFont val="MS P ゴシック"/>
            <family val="3"/>
            <charset val="128"/>
          </rPr>
          <t>「経費の積算」シートの～に科目名を記入するとリンクしています。</t>
        </r>
      </text>
    </comment>
    <comment ref="F35" authorId="0">
      <text>
        <r>
          <rPr>
            <b/>
            <sz val="9"/>
            <color indexed="81"/>
            <rFont val="MS P ゴシック"/>
            <family val="3"/>
            <charset val="128"/>
          </rPr>
          <t>労働保険料。具体的に幾ら位かは、ネットで調べてください。</t>
        </r>
      </text>
    </comment>
  </commentList>
</comments>
</file>

<file path=xl/comments6.xml><?xml version="1.0" encoding="utf-8"?>
<comments xmlns="http://schemas.openxmlformats.org/spreadsheetml/2006/main">
  <authors>
    <author>Goto</author>
    <author>User</author>
  </authors>
  <commentList>
    <comment ref="B2" authorId="0">
      <text>
        <r>
          <rPr>
            <b/>
            <sz val="9"/>
            <color indexed="81"/>
            <rFont val="ＭＳ Ｐゴシック"/>
            <family val="3"/>
            <charset val="128"/>
          </rPr>
          <t xml:space="preserve">下の「集計表」の数字を入力ください。その番号で、H105セル以降に集計されます。
</t>
        </r>
      </text>
    </comment>
    <comment ref="D2" authorId="1">
      <text>
        <r>
          <rPr>
            <b/>
            <sz val="9"/>
            <color indexed="81"/>
            <rFont val="MS P ゴシック"/>
            <family val="3"/>
            <charset val="128"/>
          </rPr>
          <t>備忘録として記載しても、「科目№」記載しない限り集計されません。</t>
        </r>
      </text>
    </comment>
    <comment ref="G2" authorId="1">
      <text>
        <r>
          <rPr>
            <b/>
            <sz val="9"/>
            <color indexed="81"/>
            <rFont val="MS P ゴシック"/>
            <family val="3"/>
            <charset val="128"/>
          </rPr>
          <t>減価償却資産か否かは、この単価の金額で決めます。
※安価のものを大量に購入しても対象外です。</t>
        </r>
      </text>
    </comment>
    <comment ref="I2" authorId="0">
      <text>
        <r>
          <rPr>
            <b/>
            <sz val="9"/>
            <color indexed="81"/>
            <rFont val="ＭＳ Ｐゴシック"/>
            <family val="3"/>
            <charset val="128"/>
          </rPr>
          <t xml:space="preserve">補助金を活用したい場合は、担当機関に見てもらって判断をもらうとよいでしよう。
</t>
        </r>
      </text>
    </comment>
    <comment ref="C103" authorId="1">
      <text>
        <r>
          <rPr>
            <b/>
            <sz val="9"/>
            <color indexed="81"/>
            <rFont val="MS P ゴシック"/>
            <family val="3"/>
            <charset val="128"/>
          </rPr>
          <t>商品や材料仕入れは、ここの対象外です。また、ホウキなど備忘録として必要だが、ここに記載するほどてはないものは、両者ともに科目№を「999」とするとここに合計されます。</t>
        </r>
      </text>
    </comment>
    <comment ref="H104" authorId="1">
      <text>
        <r>
          <rPr>
            <b/>
            <sz val="9"/>
            <color indexed="81"/>
            <rFont val="MS P ゴシック"/>
            <family val="3"/>
            <charset val="128"/>
          </rPr>
          <t>ここに集計された科目№の金額毎に「減価償却」シートで計算がなされます。</t>
        </r>
      </text>
    </comment>
    <comment ref="H118" authorId="1">
      <text>
        <r>
          <rPr>
            <b/>
            <sz val="9"/>
            <color indexed="81"/>
            <rFont val="MS P ゴシック"/>
            <family val="3"/>
            <charset val="128"/>
          </rPr>
          <t>「評価・判断」シートで自己資金(元入れ金)とした金額です。</t>
        </r>
      </text>
    </comment>
    <comment ref="H119" authorId="1">
      <text>
        <r>
          <rPr>
            <b/>
            <sz val="9"/>
            <color indexed="81"/>
            <rFont val="MS P ゴシック"/>
            <family val="3"/>
            <charset val="128"/>
          </rPr>
          <t>調達品の総合計から自己資金を除いた金額は自動的に借入金となります。</t>
        </r>
      </text>
    </comment>
  </commentList>
</comments>
</file>

<file path=xl/comments7.xml><?xml version="1.0" encoding="utf-8"?>
<comments xmlns="http://schemas.openxmlformats.org/spreadsheetml/2006/main">
  <authors>
    <author>User</author>
  </authors>
  <commentList>
    <comment ref="E20" authorId="0">
      <text>
        <r>
          <rPr>
            <b/>
            <sz val="9"/>
            <color indexed="81"/>
            <rFont val="MS P ゴシック"/>
            <family val="3"/>
            <charset val="128"/>
          </rPr>
          <t xml:space="preserve">「経費の積算」シートのF2セルとリンクしています。
</t>
        </r>
      </text>
    </comment>
  </commentList>
</comments>
</file>

<file path=xl/comments8.xml><?xml version="1.0" encoding="utf-8"?>
<comments xmlns="http://schemas.openxmlformats.org/spreadsheetml/2006/main">
  <authors>
    <author>User</author>
  </authors>
  <commentList>
    <comment ref="H3" authorId="0">
      <text>
        <r>
          <rPr>
            <b/>
            <sz val="9"/>
            <color indexed="81"/>
            <rFont val="MS P ゴシック"/>
            <family val="3"/>
            <charset val="128"/>
          </rPr>
          <t>借入金と返済総額との差額です。通常は、初回で増減する等が必要ですが、自動調整はしてありません。
※「シミュレーション」シートの借入金欄に最後に金額が残るだけなので、許容誤差としておき何もしないでもよいでしょう。</t>
        </r>
        <r>
          <rPr>
            <b/>
            <sz val="14"/>
            <color indexed="81"/>
            <rFont val="MS P ゴシック"/>
            <family val="3"/>
            <charset val="128"/>
          </rPr>
          <t xml:space="preserve">
</t>
        </r>
      </text>
    </comment>
    <comment ref="S3" authorId="0">
      <text>
        <r>
          <rPr>
            <b/>
            <sz val="9"/>
            <color indexed="81"/>
            <rFont val="MS P ゴシック"/>
            <family val="3"/>
            <charset val="128"/>
          </rPr>
          <t>左の表「設備」に準じます。</t>
        </r>
      </text>
    </comment>
    <comment ref="AD3" authorId="0">
      <text>
        <r>
          <rPr>
            <b/>
            <sz val="14"/>
            <color indexed="81"/>
            <rFont val="MS P ゴシック"/>
            <family val="3"/>
            <charset val="128"/>
          </rPr>
          <t>初回で増減</t>
        </r>
      </text>
    </comment>
    <comment ref="G5" authorId="0">
      <text>
        <r>
          <rPr>
            <b/>
            <sz val="9"/>
            <color indexed="81"/>
            <rFont val="MS P ゴシック"/>
            <family val="3"/>
            <charset val="128"/>
          </rPr>
          <t xml:space="preserve">「経費の積算」シート「G2」セルから自動転記されます。
</t>
        </r>
      </text>
    </comment>
    <comment ref="B127" authorId="0">
      <text>
        <r>
          <rPr>
            <b/>
            <sz val="9"/>
            <color indexed="81"/>
            <rFont val="MS P ゴシック"/>
            <family val="3"/>
            <charset val="128"/>
          </rPr>
          <t xml:space="preserve">返済額の合計と、当初借入金の差額
</t>
        </r>
      </text>
    </comment>
  </commentList>
</comments>
</file>

<file path=xl/sharedStrings.xml><?xml version="1.0" encoding="utf-8"?>
<sst xmlns="http://schemas.openxmlformats.org/spreadsheetml/2006/main" count="487" uniqueCount="406">
  <si>
    <t>損益計算書</t>
    <rPh sb="0" eb="2">
      <t>ソンエキ</t>
    </rPh>
    <rPh sb="2" eb="5">
      <t>ケイサンショ</t>
    </rPh>
    <phoneticPr fontId="6"/>
  </si>
  <si>
    <t>売上合計</t>
    <rPh sb="0" eb="2">
      <t>ウリアゲ</t>
    </rPh>
    <rPh sb="2" eb="4">
      <t>ゴウケイ</t>
    </rPh>
    <phoneticPr fontId="6"/>
  </si>
  <si>
    <t>売上原価合計</t>
    <rPh sb="0" eb="2">
      <t>ウリアゲ</t>
    </rPh>
    <rPh sb="2" eb="4">
      <t>ゲンカ</t>
    </rPh>
    <rPh sb="4" eb="6">
      <t>ゴウケイ</t>
    </rPh>
    <phoneticPr fontId="6"/>
  </si>
  <si>
    <t>売上総利益</t>
    <rPh sb="0" eb="2">
      <t>ウリア</t>
    </rPh>
    <rPh sb="2" eb="5">
      <t>ソウリエキ</t>
    </rPh>
    <phoneticPr fontId="6"/>
  </si>
  <si>
    <t>支払利息</t>
    <rPh sb="0" eb="2">
      <t>シハライ</t>
    </rPh>
    <rPh sb="2" eb="4">
      <t>リソク</t>
    </rPh>
    <phoneticPr fontId="6"/>
  </si>
  <si>
    <t>借入利息(新規借入分)</t>
    <rPh sb="0" eb="2">
      <t>カリイレ</t>
    </rPh>
    <rPh sb="2" eb="4">
      <t>リソク</t>
    </rPh>
    <rPh sb="5" eb="7">
      <t>シンキ</t>
    </rPh>
    <rPh sb="7" eb="8">
      <t>カ</t>
    </rPh>
    <rPh sb="8" eb="9">
      <t>イ</t>
    </rPh>
    <rPh sb="9" eb="10">
      <t>ブン</t>
    </rPh>
    <phoneticPr fontId="6"/>
  </si>
  <si>
    <t>長期借入金の返済額</t>
    <rPh sb="0" eb="2">
      <t>チョウキ</t>
    </rPh>
    <rPh sb="2" eb="4">
      <t>カリイレ</t>
    </rPh>
    <rPh sb="4" eb="5">
      <t>キン</t>
    </rPh>
    <rPh sb="6" eb="8">
      <t>ヘンサイ</t>
    </rPh>
    <rPh sb="8" eb="9">
      <t>ガク</t>
    </rPh>
    <phoneticPr fontId="6"/>
  </si>
  <si>
    <t>期首現金</t>
    <rPh sb="0" eb="2">
      <t>キシュ</t>
    </rPh>
    <rPh sb="2" eb="4">
      <t>ゲンキン</t>
    </rPh>
    <phoneticPr fontId="6"/>
  </si>
  <si>
    <t>収支差額　①</t>
    <rPh sb="0" eb="2">
      <t>シュウシ</t>
    </rPh>
    <rPh sb="2" eb="4">
      <t>サガク</t>
    </rPh>
    <phoneticPr fontId="6"/>
  </si>
  <si>
    <t>期末現金 仮計</t>
    <rPh sb="0" eb="2">
      <t>キマツ</t>
    </rPh>
    <rPh sb="2" eb="4">
      <t>ゲンキン</t>
    </rPh>
    <rPh sb="5" eb="6">
      <t>カリ</t>
    </rPh>
    <rPh sb="6" eb="7">
      <t>ケイ</t>
    </rPh>
    <phoneticPr fontId="6"/>
  </si>
  <si>
    <t>新規借入金の利息</t>
    <rPh sb="0" eb="2">
      <t>シンキ</t>
    </rPh>
    <rPh sb="2" eb="4">
      <t>カリイレ</t>
    </rPh>
    <rPh sb="4" eb="5">
      <t>キン</t>
    </rPh>
    <rPh sb="6" eb="8">
      <t>リソク</t>
    </rPh>
    <phoneticPr fontId="6"/>
  </si>
  <si>
    <t>期末現金 　</t>
    <rPh sb="0" eb="2">
      <t>キマツ</t>
    </rPh>
    <rPh sb="2" eb="4">
      <t>ゲンキン</t>
    </rPh>
    <phoneticPr fontId="6"/>
  </si>
  <si>
    <t>貸借対照表</t>
    <rPh sb="0" eb="2">
      <t>タイシャク</t>
    </rPh>
    <rPh sb="2" eb="5">
      <t>タイショウヒョウ</t>
    </rPh>
    <phoneticPr fontId="6"/>
  </si>
  <si>
    <t>現金・預金</t>
    <rPh sb="3" eb="5">
      <t>ヨキン</t>
    </rPh>
    <phoneticPr fontId="6"/>
  </si>
  <si>
    <t>◆現金</t>
    <rPh sb="1" eb="3">
      <t>ゲンキン</t>
    </rPh>
    <phoneticPr fontId="6"/>
  </si>
  <si>
    <t>在庫</t>
    <rPh sb="0" eb="2">
      <t>ザイコ</t>
    </rPh>
    <phoneticPr fontId="6"/>
  </si>
  <si>
    <t>流動資産計</t>
    <rPh sb="0" eb="2">
      <t>リュウドウ</t>
    </rPh>
    <rPh sb="2" eb="4">
      <t>シサン</t>
    </rPh>
    <rPh sb="4" eb="5">
      <t>ケイ</t>
    </rPh>
    <phoneticPr fontId="6"/>
  </si>
  <si>
    <t>固定資産計</t>
    <rPh sb="0" eb="2">
      <t>コテイ</t>
    </rPh>
    <rPh sb="2" eb="4">
      <t>シサン</t>
    </rPh>
    <rPh sb="4" eb="5">
      <t>ケイ</t>
    </rPh>
    <phoneticPr fontId="6"/>
  </si>
  <si>
    <t>資産合計</t>
    <rPh sb="0" eb="2">
      <t>シサン</t>
    </rPh>
    <rPh sb="2" eb="4">
      <t>ゴウケイ</t>
    </rPh>
    <phoneticPr fontId="6"/>
  </si>
  <si>
    <t>買掛金</t>
    <rPh sb="0" eb="3">
      <t>カイカケキン</t>
    </rPh>
    <phoneticPr fontId="6"/>
  </si>
  <si>
    <t>新規借入金</t>
    <rPh sb="0" eb="2">
      <t>シンキ</t>
    </rPh>
    <rPh sb="2" eb="4">
      <t>カリイレ</t>
    </rPh>
    <rPh sb="4" eb="5">
      <t>キン</t>
    </rPh>
    <phoneticPr fontId="6"/>
  </si>
  <si>
    <t>流動負債計</t>
    <rPh sb="0" eb="2">
      <t>リュウドウ</t>
    </rPh>
    <rPh sb="2" eb="4">
      <t>フサイ</t>
    </rPh>
    <rPh sb="4" eb="5">
      <t>ケイ</t>
    </rPh>
    <phoneticPr fontId="6"/>
  </si>
  <si>
    <t>固定負債計</t>
    <rPh sb="0" eb="2">
      <t>コテイ</t>
    </rPh>
    <rPh sb="2" eb="4">
      <t>フサイ</t>
    </rPh>
    <rPh sb="4" eb="5">
      <t>ケイ</t>
    </rPh>
    <phoneticPr fontId="6"/>
  </si>
  <si>
    <t>負債合計</t>
    <rPh sb="0" eb="2">
      <t>フサイ</t>
    </rPh>
    <rPh sb="2" eb="4">
      <t>ゴウケイ</t>
    </rPh>
    <phoneticPr fontId="6"/>
  </si>
  <si>
    <t>資本合計</t>
    <rPh sb="0" eb="2">
      <t>シホン</t>
    </rPh>
    <rPh sb="2" eb="4">
      <t>ゴウケイ</t>
    </rPh>
    <phoneticPr fontId="6"/>
  </si>
  <si>
    <t>純資産</t>
    <rPh sb="0" eb="3">
      <t>ジュンシサン</t>
    </rPh>
    <phoneticPr fontId="6"/>
  </si>
  <si>
    <t>負債・資本合計</t>
    <rPh sb="0" eb="2">
      <t>フサイ</t>
    </rPh>
    <rPh sb="3" eb="5">
      <t>シホン</t>
    </rPh>
    <rPh sb="5" eb="7">
      <t>ゴウケイ</t>
    </rPh>
    <phoneticPr fontId="6"/>
  </si>
  <si>
    <t>照合</t>
    <rPh sb="0" eb="2">
      <t>ショウゴウ</t>
    </rPh>
    <phoneticPr fontId="6"/>
  </si>
  <si>
    <t>借入金総額(現+新)</t>
    <rPh sb="0" eb="2">
      <t>カリイレ</t>
    </rPh>
    <rPh sb="2" eb="3">
      <t>キン</t>
    </rPh>
    <rPh sb="3" eb="5">
      <t>ソウガク</t>
    </rPh>
    <rPh sb="6" eb="7">
      <t>ゲン</t>
    </rPh>
    <rPh sb="8" eb="9">
      <t>シン</t>
    </rPh>
    <phoneticPr fontId="6"/>
  </si>
  <si>
    <t>借入金返済額</t>
    <rPh sb="0" eb="2">
      <t>カリイレ</t>
    </rPh>
    <rPh sb="2" eb="3">
      <t>キン</t>
    </rPh>
    <rPh sb="3" eb="5">
      <t>ヘンサイ</t>
    </rPh>
    <rPh sb="5" eb="6">
      <t>ガク</t>
    </rPh>
    <phoneticPr fontId="6"/>
  </si>
  <si>
    <t>調達品</t>
    <rPh sb="0" eb="2">
      <t>チョウタツ</t>
    </rPh>
    <phoneticPr fontId="6"/>
  </si>
  <si>
    <t>科目№</t>
    <rPh sb="0" eb="2">
      <t>カモク</t>
    </rPh>
    <phoneticPr fontId="6"/>
  </si>
  <si>
    <t>科目</t>
    <rPh sb="0" eb="2">
      <t>カモク</t>
    </rPh>
    <phoneticPr fontId="6"/>
  </si>
  <si>
    <t>調達品などの名称</t>
  </si>
  <si>
    <t>数量</t>
  </si>
  <si>
    <t>単価</t>
  </si>
  <si>
    <t>合計金額</t>
    <rPh sb="0" eb="2">
      <t>ゴウケイ</t>
    </rPh>
    <rPh sb="2" eb="4">
      <t>キンガク</t>
    </rPh>
    <phoneticPr fontId="6"/>
  </si>
  <si>
    <t>①</t>
    <phoneticPr fontId="6"/>
  </si>
  <si>
    <t>合計</t>
    <rPh sb="0" eb="2">
      <t>ゴウケイ</t>
    </rPh>
    <phoneticPr fontId="6"/>
  </si>
  <si>
    <t>科目№</t>
    <rPh sb="0" eb="2">
      <t>カモク</t>
    </rPh>
    <phoneticPr fontId="3"/>
  </si>
  <si>
    <t>科目</t>
    <rPh sb="0" eb="2">
      <t>カモク</t>
    </rPh>
    <phoneticPr fontId="3"/>
  </si>
  <si>
    <t>金額</t>
    <rPh sb="0" eb="2">
      <t>キンガク</t>
    </rPh>
    <phoneticPr fontId="3"/>
  </si>
  <si>
    <t xml:space="preserve"> 建    物</t>
  </si>
  <si>
    <t>付属設備</t>
    <rPh sb="0" eb="2">
      <t>フゾク</t>
    </rPh>
    <rPh sb="2" eb="4">
      <t>セツビ</t>
    </rPh>
    <phoneticPr fontId="3"/>
  </si>
  <si>
    <t>開発費</t>
    <rPh sb="0" eb="3">
      <t>カイハツヒ</t>
    </rPh>
    <phoneticPr fontId="3"/>
  </si>
  <si>
    <t>総合計</t>
    <rPh sb="0" eb="2">
      <t>ソウゴウ</t>
    </rPh>
    <rPh sb="2" eb="3">
      <t>ケイ</t>
    </rPh>
    <phoneticPr fontId="6"/>
  </si>
  <si>
    <t>合計</t>
    <rPh sb="0" eb="2">
      <t>ゴウケイ</t>
    </rPh>
    <phoneticPr fontId="3"/>
  </si>
  <si>
    <t>売上積算書</t>
    <rPh sb="0" eb="2">
      <t>ウリアゲ</t>
    </rPh>
    <rPh sb="2" eb="4">
      <t>セキサン</t>
    </rPh>
    <rPh sb="4" eb="5">
      <t>ショ</t>
    </rPh>
    <phoneticPr fontId="6"/>
  </si>
  <si>
    <t>メニュー</t>
    <phoneticPr fontId="6"/>
  </si>
  <si>
    <t>単価</t>
    <rPh sb="0" eb="2">
      <t>タンカ</t>
    </rPh>
    <phoneticPr fontId="6"/>
  </si>
  <si>
    <t>売上高</t>
    <phoneticPr fontId="6"/>
  </si>
  <si>
    <t>構成比</t>
    <phoneticPr fontId="6"/>
  </si>
  <si>
    <t>仕入額</t>
    <rPh sb="0" eb="2">
      <t>シイレ</t>
    </rPh>
    <rPh sb="2" eb="3">
      <t>ガク</t>
    </rPh>
    <phoneticPr fontId="6"/>
  </si>
  <si>
    <r>
      <rPr>
        <b/>
        <sz val="12"/>
        <color theme="1"/>
        <rFont val="ＭＳ Ｐゴシック"/>
        <family val="3"/>
        <charset val="128"/>
        <scheme val="minor"/>
      </rPr>
      <t>【販売促進策】</t>
    </r>
    <r>
      <rPr>
        <sz val="11"/>
        <color theme="1"/>
        <rFont val="ＭＳ Ｐゴシック"/>
        <family val="3"/>
        <charset val="128"/>
        <scheme val="minor"/>
      </rPr>
      <t xml:space="preserve">
新規客づくり、リピート客づくりのための宣伝など誘客方法
</t>
    </r>
    <r>
      <rPr>
        <sz val="9"/>
        <color indexed="10"/>
        <rFont val="ＭＳ Ｐゴシック"/>
        <family val="3"/>
        <charset val="128"/>
      </rPr>
      <t>※各欄の売上に見合う販売促進策をいかにするかが積算の妥当性となります。</t>
    </r>
    <rPh sb="1" eb="5">
      <t>ハンバイソクシン</t>
    </rPh>
    <rPh sb="5" eb="6">
      <t>サク</t>
    </rPh>
    <rPh sb="8" eb="10">
      <t>シンキ</t>
    </rPh>
    <rPh sb="10" eb="11">
      <t>キャク</t>
    </rPh>
    <rPh sb="19" eb="20">
      <t>キャク</t>
    </rPh>
    <rPh sb="27" eb="29">
      <t>センデン</t>
    </rPh>
    <rPh sb="31" eb="33">
      <t>ユウキャク</t>
    </rPh>
    <rPh sb="33" eb="35">
      <t>ホウホウ</t>
    </rPh>
    <rPh sb="37" eb="39">
      <t>カクラン</t>
    </rPh>
    <rPh sb="40" eb="42">
      <t>ウリアゲ</t>
    </rPh>
    <rPh sb="43" eb="45">
      <t>ミア</t>
    </rPh>
    <rPh sb="46" eb="48">
      <t>ハンバイ</t>
    </rPh>
    <rPh sb="48" eb="50">
      <t>ソクシン</t>
    </rPh>
    <rPh sb="50" eb="51">
      <t>サク</t>
    </rPh>
    <rPh sb="59" eb="61">
      <t>セキサン</t>
    </rPh>
    <rPh sb="62" eb="65">
      <t>ダトウセイ</t>
    </rPh>
    <phoneticPr fontId="6"/>
  </si>
  <si>
    <t>客数合計</t>
    <rPh sb="0" eb="2">
      <t>キャクスウ</t>
    </rPh>
    <rPh sb="2" eb="4">
      <t>ゴウケイ</t>
    </rPh>
    <phoneticPr fontId="3"/>
  </si>
  <si>
    <t>**</t>
    <phoneticPr fontId="6"/>
  </si>
  <si>
    <t>初年度</t>
    <rPh sb="0" eb="3">
      <t>ショネンド</t>
    </rPh>
    <phoneticPr fontId="3"/>
  </si>
  <si>
    <t>カ月</t>
    <rPh sb="1" eb="2">
      <t>ゲツ</t>
    </rPh>
    <phoneticPr fontId="3"/>
  </si>
  <si>
    <t>no</t>
    <phoneticPr fontId="6"/>
  </si>
  <si>
    <t>科目</t>
  </si>
  <si>
    <t>1期</t>
    <rPh sb="1" eb="2">
      <t>キ</t>
    </rPh>
    <phoneticPr fontId="6"/>
  </si>
  <si>
    <t>メモ　　</t>
    <phoneticPr fontId="3"/>
  </si>
  <si>
    <t>荷造運賃</t>
  </si>
  <si>
    <t>水道光熱費</t>
  </si>
  <si>
    <t>旅費交通費</t>
  </si>
  <si>
    <t>広告宣伝費</t>
  </si>
  <si>
    <t>接待交際費</t>
  </si>
  <si>
    <t>損害保険料</t>
  </si>
  <si>
    <t>d</t>
    <phoneticPr fontId="3"/>
  </si>
  <si>
    <t>修 繕 費</t>
  </si>
  <si>
    <t>消耗品費</t>
  </si>
  <si>
    <t>福利厚生費</t>
  </si>
  <si>
    <t>外注工賃</t>
  </si>
  <si>
    <t>利子割引料</t>
  </si>
  <si>
    <t>雑    費</t>
  </si>
  <si>
    <t>小計</t>
    <rPh sb="0" eb="2">
      <t>ショウケイ</t>
    </rPh>
    <phoneticPr fontId="3"/>
  </si>
  <si>
    <t>法定福利費</t>
    <rPh sb="0" eb="2">
      <t>ホウテイ</t>
    </rPh>
    <rPh sb="2" eb="5">
      <t>フクリヒ</t>
    </rPh>
    <phoneticPr fontId="3"/>
  </si>
  <si>
    <t>償却年数</t>
    <rPh sb="0" eb="2">
      <t>ショウキャク</t>
    </rPh>
    <rPh sb="2" eb="4">
      <t>ネンスウ</t>
    </rPh>
    <phoneticPr fontId="6"/>
  </si>
  <si>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</si>
  <si>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</si>
  <si>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</si>
  <si>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</si>
  <si>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</si>
  <si>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6年目</t>
    <rPh sb="1" eb="3">
      <t>ネンメ</t>
    </rPh>
    <phoneticPr fontId="3"/>
  </si>
  <si>
    <t>7年目</t>
    <rPh sb="1" eb="3">
      <t>ネンメ</t>
    </rPh>
    <phoneticPr fontId="3"/>
  </si>
  <si>
    <t>8年目</t>
    <rPh sb="1" eb="3">
      <t>ネンメ</t>
    </rPh>
    <phoneticPr fontId="3"/>
  </si>
  <si>
    <t>9年目</t>
    <rPh sb="1" eb="3">
      <t>ネンメ</t>
    </rPh>
    <phoneticPr fontId="3"/>
  </si>
  <si>
    <t>10年目</t>
    <rPh sb="2" eb="4">
      <t>ネンメ</t>
    </rPh>
    <phoneticPr fontId="3"/>
  </si>
  <si>
    <t>器具備品</t>
    <rPh sb="0" eb="2">
      <t>キグ</t>
    </rPh>
    <rPh sb="2" eb="4">
      <t>ビヒン</t>
    </rPh>
    <phoneticPr fontId="3"/>
  </si>
  <si>
    <t>車両運搬具</t>
    <rPh sb="0" eb="2">
      <t>シャリョウ</t>
    </rPh>
    <rPh sb="2" eb="4">
      <t>ウンパン</t>
    </rPh>
    <rPh sb="4" eb="5">
      <t>グ</t>
    </rPh>
    <phoneticPr fontId="3"/>
  </si>
  <si>
    <t>償却費</t>
    <rPh sb="0" eb="2">
      <t>ショウキャク</t>
    </rPh>
    <rPh sb="2" eb="3">
      <t>ヒ</t>
    </rPh>
    <phoneticPr fontId="6"/>
  </si>
  <si>
    <t>残高</t>
    <rPh sb="0" eb="2">
      <t>ザンダカ</t>
    </rPh>
    <phoneticPr fontId="6"/>
  </si>
  <si>
    <t>初年度月数</t>
    <rPh sb="0" eb="2">
      <t>ショネン</t>
    </rPh>
    <rPh sb="2" eb="3">
      <t>ド</t>
    </rPh>
    <rPh sb="3" eb="5">
      <t>ツキスウ</t>
    </rPh>
    <phoneticPr fontId="6"/>
  </si>
  <si>
    <t>年間月数</t>
    <rPh sb="0" eb="2">
      <t>ネンカン</t>
    </rPh>
    <rPh sb="2" eb="4">
      <t>ツキスウ</t>
    </rPh>
    <phoneticPr fontId="6"/>
  </si>
  <si>
    <t>比率</t>
    <rPh sb="0" eb="2">
      <t>ヒリツ</t>
    </rPh>
    <phoneticPr fontId="6"/>
  </si>
  <si>
    <t>金利</t>
  </si>
  <si>
    <t>据置月数</t>
    <rPh sb="0" eb="2">
      <t>スエオキ</t>
    </rPh>
    <rPh sb="2" eb="4">
      <t>ツキスウ</t>
    </rPh>
    <phoneticPr fontId="3"/>
  </si>
  <si>
    <t>返済回数</t>
  </si>
  <si>
    <t>借入金額</t>
    <rPh sb="0" eb="4">
      <t>カリイレキンガク</t>
    </rPh>
    <phoneticPr fontId="3"/>
  </si>
  <si>
    <t>差額</t>
    <rPh sb="0" eb="2">
      <t>サガク</t>
    </rPh>
    <phoneticPr fontId="3"/>
  </si>
  <si>
    <t>借入金額</t>
  </si>
  <si>
    <t>元金</t>
  </si>
  <si>
    <t>利息</t>
  </si>
  <si>
    <t>支払合計</t>
  </si>
  <si>
    <t>残高</t>
  </si>
  <si>
    <t>日割日数</t>
  </si>
  <si>
    <t>年月</t>
    <rPh sb="0" eb="2">
      <t>ネンゲツ</t>
    </rPh>
    <phoneticPr fontId="6"/>
  </si>
  <si>
    <t>備考</t>
    <rPh sb="0" eb="2">
      <t>ビコウ</t>
    </rPh>
    <phoneticPr fontId="6"/>
  </si>
  <si>
    <t>利息累計</t>
    <rPh sb="0" eb="2">
      <t>リソク</t>
    </rPh>
    <rPh sb="2" eb="4">
      <t>ルイケイ</t>
    </rPh>
    <phoneticPr fontId="6"/>
  </si>
  <si>
    <t>元金累計</t>
    <rPh sb="0" eb="2">
      <t>ガンキン</t>
    </rPh>
    <rPh sb="2" eb="4">
      <t>ルイケイ</t>
    </rPh>
    <phoneticPr fontId="6"/>
  </si>
  <si>
    <t>元金返済累計</t>
    <rPh sb="0" eb="2">
      <t>ガンキン</t>
    </rPh>
    <rPh sb="2" eb="4">
      <t>ヘンサイ</t>
    </rPh>
    <rPh sb="4" eb="6">
      <t>ルイケイ</t>
    </rPh>
    <phoneticPr fontId="6"/>
  </si>
  <si>
    <t>借入金残高</t>
    <rPh sb="0" eb="3">
      <t>カリイレキン</t>
    </rPh>
    <rPh sb="3" eb="5">
      <t>ザンダカ</t>
    </rPh>
    <phoneticPr fontId="3"/>
  </si>
  <si>
    <t>年間利息額</t>
    <rPh sb="0" eb="2">
      <t>ネンカン</t>
    </rPh>
    <rPh sb="2" eb="4">
      <t>リソク</t>
    </rPh>
    <rPh sb="4" eb="5">
      <t>ガク</t>
    </rPh>
    <phoneticPr fontId="3"/>
  </si>
  <si>
    <t>年間返済額</t>
    <rPh sb="0" eb="2">
      <t>ネンカン</t>
    </rPh>
    <rPh sb="2" eb="5">
      <t>ヘンサイガク</t>
    </rPh>
    <phoneticPr fontId="3"/>
  </si>
  <si>
    <t>毎年残高</t>
    <rPh sb="0" eb="2">
      <t>マイネン</t>
    </rPh>
    <rPh sb="2" eb="4">
      <t>ザンダカ</t>
    </rPh>
    <phoneticPr fontId="3"/>
  </si>
  <si>
    <t>合計</t>
  </si>
  <si>
    <t xml:space="preserve"> </t>
  </si>
  <si>
    <t>　</t>
  </si>
  <si>
    <t>当初売上高</t>
    <rPh sb="0" eb="2">
      <t>トウショ</t>
    </rPh>
    <rPh sb="2" eb="4">
      <t>ウリアゲ</t>
    </rPh>
    <rPh sb="4" eb="5">
      <t>ダカ</t>
    </rPh>
    <phoneticPr fontId="6"/>
  </si>
  <si>
    <t>←現金割合</t>
    <rPh sb="1" eb="3">
      <t>ゲンキン</t>
    </rPh>
    <rPh sb="3" eb="5">
      <t>ワリアイ</t>
    </rPh>
    <phoneticPr fontId="6"/>
  </si>
  <si>
    <t>←掛割合</t>
    <rPh sb="1" eb="2">
      <t>カ</t>
    </rPh>
    <rPh sb="2" eb="4">
      <t>ワリアイ</t>
    </rPh>
    <phoneticPr fontId="6"/>
  </si>
  <si>
    <t>売掛回収</t>
    <rPh sb="0" eb="2">
      <t>ウリカケ</t>
    </rPh>
    <rPh sb="2" eb="4">
      <t>カイシュウ</t>
    </rPh>
    <phoneticPr fontId="3"/>
  </si>
  <si>
    <t>買掛支払</t>
    <rPh sb="0" eb="2">
      <t>カイカケ</t>
    </rPh>
    <rPh sb="2" eb="4">
      <t>シハライ</t>
    </rPh>
    <phoneticPr fontId="3"/>
  </si>
  <si>
    <t>(収入)</t>
    <rPh sb="1" eb="3">
      <t>シュウニュウ</t>
    </rPh>
    <phoneticPr fontId="3"/>
  </si>
  <si>
    <t>前月繰越金</t>
    <rPh sb="0" eb="2">
      <t>ゼンゲツ</t>
    </rPh>
    <rPh sb="2" eb="4">
      <t>クリコシ</t>
    </rPh>
    <rPh sb="4" eb="5">
      <t>キン</t>
    </rPh>
    <phoneticPr fontId="6"/>
  </si>
  <si>
    <t>現金売上</t>
    <rPh sb="0" eb="2">
      <t>ゲンキン</t>
    </rPh>
    <rPh sb="2" eb="4">
      <t>ウリアゲ</t>
    </rPh>
    <phoneticPr fontId="6"/>
  </si>
  <si>
    <t>売掛金回収</t>
    <rPh sb="0" eb="2">
      <t>ウリカケ</t>
    </rPh>
    <rPh sb="2" eb="3">
      <t>キン</t>
    </rPh>
    <rPh sb="3" eb="5">
      <t>カイシュウ</t>
    </rPh>
    <phoneticPr fontId="6"/>
  </si>
  <si>
    <t>計</t>
    <rPh sb="0" eb="1">
      <t>ケイ</t>
    </rPh>
    <phoneticPr fontId="6"/>
  </si>
  <si>
    <t>(支出)</t>
    <rPh sb="1" eb="3">
      <t>シシュツ</t>
    </rPh>
    <phoneticPr fontId="3"/>
  </si>
  <si>
    <t>現金仕入れ</t>
    <rPh sb="0" eb="2">
      <t>ゲンキン</t>
    </rPh>
    <rPh sb="2" eb="4">
      <t>シイレ</t>
    </rPh>
    <phoneticPr fontId="6"/>
  </si>
  <si>
    <t>買掛金支払</t>
    <rPh sb="0" eb="3">
      <t>カイカケキン</t>
    </rPh>
    <rPh sb="3" eb="5">
      <t>シハライ</t>
    </rPh>
    <phoneticPr fontId="6"/>
  </si>
  <si>
    <t>支払利息　　</t>
    <rPh sb="0" eb="2">
      <t>シハライ</t>
    </rPh>
    <rPh sb="2" eb="4">
      <t>リソク</t>
    </rPh>
    <phoneticPr fontId="3"/>
  </si>
  <si>
    <t>差引過不足</t>
    <rPh sb="0" eb="2">
      <t>サシヒキ</t>
    </rPh>
    <rPh sb="2" eb="5">
      <t>カブソク</t>
    </rPh>
    <phoneticPr fontId="6"/>
  </si>
  <si>
    <t xml:space="preserve"> </t>
    <phoneticPr fontId="6"/>
  </si>
  <si>
    <t>租税公課</t>
  </si>
  <si>
    <t>通 信 費</t>
  </si>
  <si>
    <t>減価償却費</t>
  </si>
  <si>
    <t>売上</t>
    <rPh sb="0" eb="2">
      <t>ウリアゲ</t>
    </rPh>
    <phoneticPr fontId="3"/>
  </si>
  <si>
    <t>当初季節指数</t>
    <rPh sb="0" eb="2">
      <t>トウショ</t>
    </rPh>
    <rPh sb="2" eb="4">
      <t>キセツ</t>
    </rPh>
    <rPh sb="4" eb="6">
      <t>シスウ</t>
    </rPh>
    <phoneticPr fontId="6"/>
  </si>
  <si>
    <t>借入金返済</t>
    <rPh sb="0" eb="3">
      <t>カリイレキン</t>
    </rPh>
    <rPh sb="3" eb="5">
      <t>ヘンサイ</t>
    </rPh>
    <phoneticPr fontId="3"/>
  </si>
  <si>
    <t>翌月現金へ</t>
    <rPh sb="0" eb="2">
      <t>ヨクゲツ</t>
    </rPh>
    <rPh sb="2" eb="4">
      <t>ゲンキン</t>
    </rPh>
    <phoneticPr fontId="3"/>
  </si>
  <si>
    <t>資金繰り表</t>
    <rPh sb="0" eb="2">
      <t>シキン</t>
    </rPh>
    <rPh sb="2" eb="3">
      <t>グ</t>
    </rPh>
    <rPh sb="4" eb="5">
      <t>ヒョウ</t>
    </rPh>
    <phoneticPr fontId="6"/>
  </si>
  <si>
    <t>経費</t>
    <rPh sb="0" eb="2">
      <t>ケイヒ</t>
    </rPh>
    <phoneticPr fontId="6"/>
  </si>
  <si>
    <t>減価償却費(1＝計算)</t>
    <rPh sb="0" eb="2">
      <t>ゲンカ</t>
    </rPh>
    <rPh sb="2" eb="4">
      <t>ショウキャク</t>
    </rPh>
    <rPh sb="4" eb="5">
      <t>ヒ</t>
    </rPh>
    <rPh sb="8" eb="10">
      <t>ケイサン</t>
    </rPh>
    <phoneticPr fontId="6"/>
  </si>
  <si>
    <t>給料</t>
    <rPh sb="0" eb="2">
      <t>キュウリョウ</t>
    </rPh>
    <phoneticPr fontId="3"/>
  </si>
  <si>
    <t>単位:千円</t>
    <rPh sb="0" eb="2">
      <t>タンイ</t>
    </rPh>
    <rPh sb="3" eb="5">
      <t>センエン</t>
    </rPh>
    <phoneticPr fontId="3"/>
  </si>
  <si>
    <t>改装</t>
    <rPh sb="0" eb="2">
      <t>カイソウ</t>
    </rPh>
    <phoneticPr fontId="3"/>
  </si>
  <si>
    <t>電気設備</t>
    <rPh sb="0" eb="4">
      <t>デンキセツビ</t>
    </rPh>
    <phoneticPr fontId="3"/>
  </si>
  <si>
    <t>給排水設備</t>
    <rPh sb="0" eb="3">
      <t>キュウハイスイ</t>
    </rPh>
    <rPh sb="3" eb="5">
      <t>セツビ</t>
    </rPh>
    <phoneticPr fontId="3"/>
  </si>
  <si>
    <t>車</t>
    <rPh sb="0" eb="1">
      <t>クルマ</t>
    </rPh>
    <phoneticPr fontId="3"/>
  </si>
  <si>
    <t>机</t>
    <rPh sb="0" eb="1">
      <t>ツクエ</t>
    </rPh>
    <phoneticPr fontId="3"/>
  </si>
  <si>
    <t>事務機</t>
    <rPh sb="0" eb="3">
      <t>ジムキ</t>
    </rPh>
    <phoneticPr fontId="3"/>
  </si>
  <si>
    <t>時計</t>
    <rPh sb="0" eb="2">
      <t>トケイ</t>
    </rPh>
    <phoneticPr fontId="3"/>
  </si>
  <si>
    <t>冷蔵庫</t>
    <rPh sb="0" eb="3">
      <t>レイゾウコ</t>
    </rPh>
    <phoneticPr fontId="3"/>
  </si>
  <si>
    <t>構築物</t>
    <rPh sb="0" eb="3">
      <t>コウチクブツ</t>
    </rPh>
    <phoneticPr fontId="3"/>
  </si>
  <si>
    <t>開業費</t>
    <rPh sb="0" eb="3">
      <t>カイギョウヒ</t>
    </rPh>
    <phoneticPr fontId="3"/>
  </si>
  <si>
    <t>食器類</t>
    <rPh sb="0" eb="3">
      <t>ショッキルイ</t>
    </rPh>
    <phoneticPr fontId="3"/>
  </si>
  <si>
    <t>掃除セット</t>
    <rPh sb="0" eb="2">
      <t>ソウジ</t>
    </rPh>
    <phoneticPr fontId="3"/>
  </si>
  <si>
    <t>機械装置</t>
    <phoneticPr fontId="3"/>
  </si>
  <si>
    <t>器具備品</t>
    <phoneticPr fontId="3"/>
  </si>
  <si>
    <t>車両運搬具</t>
    <phoneticPr fontId="3"/>
  </si>
  <si>
    <r>
      <t>利益-1　　　</t>
    </r>
    <r>
      <rPr>
        <sz val="10"/>
        <color theme="1"/>
        <rFont val="ＭＳ Ｐゴシック"/>
        <family val="3"/>
        <charset val="128"/>
        <scheme val="minor"/>
      </rPr>
      <t>※平常の営業による利益　</t>
    </r>
    <r>
      <rPr>
        <b/>
        <sz val="11"/>
        <color theme="1"/>
        <rFont val="ＭＳ Ｐゴシック"/>
        <family val="3"/>
        <charset val="128"/>
        <scheme val="minor"/>
      </rPr>
      <t>　</t>
    </r>
    <rPh sb="0" eb="2">
      <t>リエキ</t>
    </rPh>
    <phoneticPr fontId="6"/>
  </si>
  <si>
    <t>利益-2</t>
    <rPh sb="0" eb="2">
      <t>リエキ</t>
    </rPh>
    <phoneticPr fontId="6"/>
  </si>
  <si>
    <t>利益</t>
    <rPh sb="0" eb="2">
      <t>リエキエイリ</t>
    </rPh>
    <phoneticPr fontId="6"/>
  </si>
  <si>
    <t>(営業利益)</t>
    <rPh sb="1" eb="3">
      <t>エイギョウ</t>
    </rPh>
    <rPh sb="3" eb="5">
      <t>リエキ</t>
    </rPh>
    <phoneticPr fontId="3"/>
  </si>
  <si>
    <t>(経常利益)</t>
    <rPh sb="1" eb="3">
      <t>ケイジョウ</t>
    </rPh>
    <rPh sb="3" eb="5">
      <t>リエキ</t>
    </rPh>
    <phoneticPr fontId="3"/>
  </si>
  <si>
    <t>総利益率</t>
    <rPh sb="0" eb="4">
      <t>ソウリエキリツ</t>
    </rPh>
    <phoneticPr fontId="3"/>
  </si>
  <si>
    <t>(販売費・一般管理費)</t>
    <rPh sb="1" eb="4">
      <t>ハンバイヒ</t>
    </rPh>
    <rPh sb="5" eb="7">
      <t>イッパン</t>
    </rPh>
    <rPh sb="7" eb="10">
      <t>カンリヒ</t>
    </rPh>
    <phoneticPr fontId="3"/>
  </si>
  <si>
    <t>その他</t>
    <rPh sb="2" eb="3">
      <t>タ</t>
    </rPh>
    <phoneticPr fontId="3"/>
  </si>
  <si>
    <t>利益</t>
    <rPh sb="0" eb="2">
      <t>リエキ</t>
    </rPh>
    <phoneticPr fontId="6"/>
  </si>
  <si>
    <t>事業主へ</t>
    <rPh sb="0" eb="3">
      <t>ジギョウヌシ</t>
    </rPh>
    <phoneticPr fontId="6"/>
  </si>
  <si>
    <r>
      <rPr>
        <strike/>
        <sz val="11"/>
        <color theme="1"/>
        <rFont val="ＭＳ Ｐゴシック"/>
        <family val="3"/>
        <charset val="128"/>
        <scheme val="minor"/>
      </rPr>
      <t>売</t>
    </r>
    <r>
      <rPr>
        <sz val="11"/>
        <color theme="1"/>
        <rFont val="ＭＳ Ｐゴシック"/>
        <family val="3"/>
        <charset val="128"/>
        <scheme val="minor"/>
      </rPr>
      <t>掛金　</t>
    </r>
    <rPh sb="0" eb="2">
      <t>ウリカケ</t>
    </rPh>
    <rPh sb="2" eb="3">
      <t>キン</t>
    </rPh>
    <phoneticPr fontId="6"/>
  </si>
  <si>
    <t>(資金不足をみるための仮欄)</t>
    <rPh sb="1" eb="3">
      <t>シキン</t>
    </rPh>
    <rPh sb="3" eb="5">
      <t>ブソク</t>
    </rPh>
    <rPh sb="11" eb="13">
      <t>カリラン</t>
    </rPh>
    <phoneticPr fontId="3"/>
  </si>
  <si>
    <t>※不足資金は自動的に借り入れ</t>
    <phoneticPr fontId="3"/>
  </si>
  <si>
    <t>※経営外支出</t>
    <rPh sb="1" eb="3">
      <t>ケイエイ</t>
    </rPh>
    <rPh sb="3" eb="4">
      <t>ソト</t>
    </rPh>
    <rPh sb="4" eb="6">
      <t>シシュツ</t>
    </rPh>
    <phoneticPr fontId="3"/>
  </si>
  <si>
    <t>事業主へ</t>
    <rPh sb="0" eb="3">
      <t>ジギョウヌシ</t>
    </rPh>
    <phoneticPr fontId="3"/>
  </si>
  <si>
    <t>経費合計</t>
    <rPh sb="0" eb="2">
      <t>ケイヒ</t>
    </rPh>
    <rPh sb="2" eb="4">
      <t>ゴウケイ</t>
    </rPh>
    <phoneticPr fontId="6"/>
  </si>
  <si>
    <t>減価償却資産</t>
    <rPh sb="0" eb="4">
      <t>ゲンカショウキャク</t>
    </rPh>
    <rPh sb="4" eb="6">
      <t>シサン</t>
    </rPh>
    <phoneticPr fontId="6"/>
  </si>
  <si>
    <t>借入金総額は償却前利益の何倍か</t>
    <rPh sb="0" eb="3">
      <t>カリイレキン</t>
    </rPh>
    <rPh sb="3" eb="5">
      <t>ソウガク</t>
    </rPh>
    <rPh sb="6" eb="9">
      <t>ショウキャクマエ</t>
    </rPh>
    <rPh sb="9" eb="11">
      <t>リエキ</t>
    </rPh>
    <rPh sb="12" eb="14">
      <t>ナンバイ</t>
    </rPh>
    <phoneticPr fontId="6"/>
  </si>
  <si>
    <t>年数</t>
    <rPh sb="0" eb="2">
      <t>ネンスウ</t>
    </rPh>
    <phoneticPr fontId="3"/>
  </si>
  <si>
    <t>月</t>
    <rPh sb="0" eb="1">
      <t>ツキ</t>
    </rPh>
    <phoneticPr fontId="3"/>
  </si>
  <si>
    <t>月返済額</t>
    <rPh sb="0" eb="1">
      <t>ツキ</t>
    </rPh>
    <rPh sb="1" eb="4">
      <t>ヘンサイガク</t>
    </rPh>
    <phoneticPr fontId="3"/>
  </si>
  <si>
    <t>設備返済</t>
    <rPh sb="0" eb="2">
      <t>セツビ</t>
    </rPh>
    <rPh sb="2" eb="4">
      <t>ヘンサイ</t>
    </rPh>
    <phoneticPr fontId="3"/>
  </si>
  <si>
    <t>運転返済</t>
    <rPh sb="0" eb="2">
      <t>ウンテン</t>
    </rPh>
    <rPh sb="2" eb="4">
      <t>ヘンサイ</t>
    </rPh>
    <phoneticPr fontId="3"/>
  </si>
  <si>
    <t>返済合計</t>
    <rPh sb="0" eb="2">
      <t>ヘンサイ</t>
    </rPh>
    <rPh sb="2" eb="4">
      <t>ゴウケイ</t>
    </rPh>
    <phoneticPr fontId="3"/>
  </si>
  <si>
    <t>経費</t>
    <rPh sb="0" eb="2">
      <t>ケイヒ</t>
    </rPh>
    <phoneticPr fontId="3"/>
  </si>
  <si>
    <t>設備利息</t>
    <rPh sb="0" eb="2">
      <t>セツビ</t>
    </rPh>
    <rPh sb="2" eb="4">
      <t>リソク</t>
    </rPh>
    <phoneticPr fontId="3"/>
  </si>
  <si>
    <t>運転利息</t>
    <rPh sb="0" eb="2">
      <t>ウンテン</t>
    </rPh>
    <rPh sb="2" eb="4">
      <t>リソク</t>
    </rPh>
    <phoneticPr fontId="3"/>
  </si>
  <si>
    <t>利息合計</t>
    <rPh sb="0" eb="4">
      <t>リソクゴウケイ</t>
    </rPh>
    <phoneticPr fontId="3"/>
  </si>
  <si>
    <t>月利息額</t>
    <rPh sb="0" eb="1">
      <t>ツキ</t>
    </rPh>
    <rPh sb="1" eb="3">
      <t>リソク</t>
    </rPh>
    <rPh sb="3" eb="4">
      <t>ガク</t>
    </rPh>
    <phoneticPr fontId="3"/>
  </si>
  <si>
    <t>利益+減価償却費</t>
    <rPh sb="0" eb="2">
      <t>リエキ</t>
    </rPh>
    <rPh sb="3" eb="7">
      <t>ゲンカショウキャク</t>
    </rPh>
    <rPh sb="7" eb="8">
      <t>ヒ</t>
    </rPh>
    <phoneticPr fontId="6"/>
  </si>
  <si>
    <t>新規借入利息分</t>
    <rPh sb="0" eb="2">
      <t>シンキ</t>
    </rPh>
    <rPh sb="2" eb="4">
      <t>カリイレ</t>
    </rPh>
    <rPh sb="4" eb="6">
      <t>リソク</t>
    </rPh>
    <rPh sb="6" eb="7">
      <t>ブン</t>
    </rPh>
    <phoneticPr fontId="3"/>
  </si>
  <si>
    <t>事業主借</t>
    <rPh sb="0" eb="3">
      <t>ジギョウヌシ</t>
    </rPh>
    <rPh sb="3" eb="4">
      <t>シャク</t>
    </rPh>
    <phoneticPr fontId="3"/>
  </si>
  <si>
    <t>増築</t>
    <rPh sb="0" eb="2">
      <t>ゾウチク</t>
    </rPh>
    <phoneticPr fontId="3"/>
  </si>
  <si>
    <t>月</t>
    <rPh sb="0" eb="1">
      <t>ツキ</t>
    </rPh>
    <phoneticPr fontId="3"/>
  </si>
  <si>
    <t>軌道にのった年の経費(2期目)</t>
    <rPh sb="0" eb="2">
      <t>キドウ</t>
    </rPh>
    <rPh sb="6" eb="7">
      <t>トシ</t>
    </rPh>
    <rPh sb="8" eb="10">
      <t>ケイヒ</t>
    </rPh>
    <rPh sb="12" eb="14">
      <t>キメ</t>
    </rPh>
    <phoneticPr fontId="3"/>
  </si>
  <si>
    <t>事業主貸-2</t>
    <rPh sb="0" eb="3">
      <t>ジギョウヌシ</t>
    </rPh>
    <rPh sb="3" eb="4">
      <t>カシ</t>
    </rPh>
    <phoneticPr fontId="3"/>
  </si>
  <si>
    <t>事業主貸-1</t>
    <rPh sb="0" eb="3">
      <t>ジギョウヌシ</t>
    </rPh>
    <rPh sb="3" eb="4">
      <t>カシ</t>
    </rPh>
    <phoneticPr fontId="3"/>
  </si>
  <si>
    <t>経費額</t>
    <rPh sb="0" eb="2">
      <t>ケイヒ</t>
    </rPh>
    <rPh sb="2" eb="3">
      <t>ガク</t>
    </rPh>
    <phoneticPr fontId="3"/>
  </si>
  <si>
    <t>売上増減①</t>
    <rPh sb="0" eb="2">
      <t>ウリアゲ</t>
    </rPh>
    <rPh sb="2" eb="4">
      <t>ゾウゲン</t>
    </rPh>
    <phoneticPr fontId="3"/>
  </si>
  <si>
    <t>売上増減②</t>
    <rPh sb="0" eb="2">
      <t>ウリアゲ</t>
    </rPh>
    <rPh sb="2" eb="4">
      <t>ゾウゲン</t>
    </rPh>
    <phoneticPr fontId="3"/>
  </si>
  <si>
    <t>売上増減③</t>
    <rPh sb="0" eb="2">
      <t>ウリアゲ</t>
    </rPh>
    <rPh sb="2" eb="4">
      <t>ゾウゲン</t>
    </rPh>
    <phoneticPr fontId="3"/>
  </si>
  <si>
    <r>
      <t>仕入増減①　　　</t>
    </r>
    <r>
      <rPr>
        <sz val="10"/>
        <color theme="1"/>
        <rFont val="ＭＳ Ｐゴシック"/>
        <family val="3"/>
        <charset val="128"/>
        <scheme val="minor"/>
      </rPr>
      <t>※売上増減①に対応</t>
    </r>
    <rPh sb="0" eb="2">
      <t>シイレ</t>
    </rPh>
    <rPh sb="2" eb="4">
      <t>ゾウゲン</t>
    </rPh>
    <rPh sb="9" eb="13">
      <t>ウリアゲゾウゲン</t>
    </rPh>
    <rPh sb="15" eb="17">
      <t>タイオウ</t>
    </rPh>
    <phoneticPr fontId="3"/>
  </si>
  <si>
    <r>
      <t>仕入増減②　　　</t>
    </r>
    <r>
      <rPr>
        <sz val="10"/>
        <color theme="1"/>
        <rFont val="ＭＳ Ｐゴシック"/>
        <family val="3"/>
        <charset val="128"/>
        <scheme val="minor"/>
      </rPr>
      <t>※売上増減②に対応</t>
    </r>
    <rPh sb="0" eb="2">
      <t>シイレ</t>
    </rPh>
    <rPh sb="2" eb="4">
      <t>ゾウゲン</t>
    </rPh>
    <phoneticPr fontId="3"/>
  </si>
  <si>
    <r>
      <t>仕入増減③　　　</t>
    </r>
    <r>
      <rPr>
        <sz val="10"/>
        <color theme="1"/>
        <rFont val="ＭＳ Ｐゴシック"/>
        <family val="3"/>
        <charset val="128"/>
        <scheme val="minor"/>
      </rPr>
      <t>※売上増減③に対応</t>
    </r>
    <rPh sb="0" eb="2">
      <t>シイレ</t>
    </rPh>
    <rPh sb="2" eb="4">
      <t>ゾウゲン</t>
    </rPh>
    <phoneticPr fontId="3"/>
  </si>
  <si>
    <t>駐車場の舗装</t>
    <rPh sb="0" eb="2">
      <t>チュウシャ</t>
    </rPh>
    <rPh sb="2" eb="3">
      <t>バ</t>
    </rPh>
    <rPh sb="4" eb="6">
      <t>ホソウ</t>
    </rPh>
    <phoneticPr fontId="4"/>
  </si>
  <si>
    <t>パソコン</t>
  </si>
  <si>
    <t>カーテン</t>
  </si>
  <si>
    <t>カメラ</t>
  </si>
  <si>
    <t>テーブル</t>
  </si>
  <si>
    <t>ソフトウェア</t>
  </si>
  <si>
    <t>テレビ</t>
  </si>
  <si>
    <t>スリッパ</t>
  </si>
  <si>
    <t>壁紙(改装)</t>
    <rPh sb="0" eb="1">
      <t>カベ</t>
    </rPh>
    <rPh sb="1" eb="2">
      <t>カミ</t>
    </rPh>
    <rPh sb="3" eb="5">
      <t>カイソウ</t>
    </rPh>
    <phoneticPr fontId="4"/>
  </si>
  <si>
    <t>ゴミ箱</t>
    <rPh sb="2" eb="3">
      <t>バコ</t>
    </rPh>
    <phoneticPr fontId="4"/>
  </si>
  <si>
    <t>文房具一式</t>
    <rPh sb="0" eb="3">
      <t>ブンボウグ</t>
    </rPh>
    <rPh sb="3" eb="5">
      <t>イッシキ</t>
    </rPh>
    <phoneticPr fontId="4"/>
  </si>
  <si>
    <t>印鑑</t>
  </si>
  <si>
    <t>照明器具</t>
    <rPh sb="0" eb="2">
      <t>ショウメイ</t>
    </rPh>
    <rPh sb="2" eb="4">
      <t>キグ</t>
    </rPh>
    <phoneticPr fontId="4"/>
  </si>
  <si>
    <t>消火器</t>
    <rPh sb="0" eb="3">
      <t>ショウカキ</t>
    </rPh>
    <phoneticPr fontId="4"/>
  </si>
  <si>
    <t>陳列棚</t>
    <rPh sb="0" eb="2">
      <t>チンレツ</t>
    </rPh>
    <rPh sb="2" eb="3">
      <t>タナ</t>
    </rPh>
    <phoneticPr fontId="4"/>
  </si>
  <si>
    <t>プリンター</t>
  </si>
  <si>
    <t>椅子</t>
    <rPh sb="0" eb="2">
      <t>イス</t>
    </rPh>
    <phoneticPr fontId="4"/>
  </si>
  <si>
    <t>FAX電話</t>
  </si>
  <si>
    <t>許認可代金</t>
    <rPh sb="0" eb="3">
      <t>キョニンカ</t>
    </rPh>
    <rPh sb="3" eb="5">
      <t>ダイキン</t>
    </rPh>
    <phoneticPr fontId="4"/>
  </si>
  <si>
    <t>レジ</t>
  </si>
  <si>
    <t>塗装（改装）</t>
    <rPh sb="0" eb="2">
      <t>トソウ</t>
    </rPh>
    <rPh sb="3" eb="5">
      <t>カイソウ</t>
    </rPh>
    <phoneticPr fontId="4"/>
  </si>
  <si>
    <t>ソファ</t>
  </si>
  <si>
    <t>ロッカー</t>
  </si>
  <si>
    <t>扇風機</t>
    <rPh sb="0" eb="3">
      <t>センプウキ</t>
    </rPh>
    <phoneticPr fontId="4"/>
  </si>
  <si>
    <t>金庫</t>
  </si>
  <si>
    <t>トイレットペーパー、</t>
  </si>
  <si>
    <t>電子レンジ</t>
  </si>
  <si>
    <t>ガス機器</t>
    <rPh sb="2" eb="4">
      <t>キキ</t>
    </rPh>
    <phoneticPr fontId="4"/>
  </si>
  <si>
    <t>食器棚</t>
    <rPh sb="0" eb="2">
      <t>ショッキ</t>
    </rPh>
    <rPh sb="2" eb="3">
      <t>ダナ</t>
    </rPh>
    <phoneticPr fontId="4"/>
  </si>
  <si>
    <t>冷蔵庫</t>
    <rPh sb="0" eb="3">
      <t>レイゾウコ</t>
    </rPh>
    <phoneticPr fontId="4"/>
  </si>
  <si>
    <t>掃除用具</t>
    <rPh sb="0" eb="2">
      <t>ソウジ</t>
    </rPh>
    <rPh sb="2" eb="4">
      <t>ヨウグ</t>
    </rPh>
    <phoneticPr fontId="4"/>
  </si>
  <si>
    <t>粗品</t>
    <rPh sb="0" eb="2">
      <t>ソシナ</t>
    </rPh>
    <phoneticPr fontId="4"/>
  </si>
  <si>
    <t>名刺</t>
    <rPh sb="0" eb="2">
      <t>メイシ</t>
    </rPh>
    <phoneticPr fontId="4"/>
  </si>
  <si>
    <t>敷金　保証金</t>
    <rPh sb="0" eb="2">
      <t>シキキン</t>
    </rPh>
    <rPh sb="3" eb="6">
      <t>ホショウキン</t>
    </rPh>
    <phoneticPr fontId="4"/>
  </si>
  <si>
    <t xml:space="preserve">ホームページ </t>
    <phoneticPr fontId="3"/>
  </si>
  <si>
    <t>オンラインショッピング等できない広告用のもの</t>
    <phoneticPr fontId="3"/>
  </si>
  <si>
    <t>集計表</t>
    <rPh sb="0" eb="3">
      <t>シュウケイヒョウ</t>
    </rPh>
    <phoneticPr fontId="6"/>
  </si>
  <si>
    <t>■返済一覧表</t>
    <phoneticPr fontId="36"/>
  </si>
  <si>
    <t>代表者</t>
    <rPh sb="0" eb="3">
      <t>ダイヒョウシャ</t>
    </rPh>
    <phoneticPr fontId="3"/>
  </si>
  <si>
    <t>年齢</t>
    <rPh sb="0" eb="2">
      <t>ネンレイ</t>
    </rPh>
    <phoneticPr fontId="3"/>
  </si>
  <si>
    <t>https://www.jfc.go.jp/n/findings/shihyou_kekka_m_index.html</t>
    <phoneticPr fontId="3"/>
  </si>
  <si>
    <t>単価</t>
    <rPh sb="0" eb="2">
      <t>タンカ</t>
    </rPh>
    <phoneticPr fontId="3"/>
  </si>
  <si>
    <t>合計</t>
    <rPh sb="0" eb="2">
      <t>ゴウケイ</t>
    </rPh>
    <phoneticPr fontId="3"/>
  </si>
  <si>
    <t>年齢</t>
    <rPh sb="0" eb="2">
      <t>ネンレイ</t>
    </rPh>
    <phoneticPr fontId="3"/>
  </si>
  <si>
    <t>借入金</t>
    <rPh sb="0" eb="3">
      <t>カリイレキン</t>
    </rPh>
    <phoneticPr fontId="3"/>
  </si>
  <si>
    <t>現預金</t>
    <rPh sb="0" eb="3">
      <t>ゲンヨキン</t>
    </rPh>
    <phoneticPr fontId="3"/>
  </si>
  <si>
    <t>元入金</t>
    <rPh sb="0" eb="2">
      <t>モトイ</t>
    </rPh>
    <rPh sb="2" eb="3">
      <t>キン</t>
    </rPh>
    <phoneticPr fontId="3"/>
  </si>
  <si>
    <t>科目</t>
    <rPh sb="0" eb="2">
      <t>カモク</t>
    </rPh>
    <phoneticPr fontId="3"/>
  </si>
  <si>
    <t>起業年齢</t>
    <rPh sb="0" eb="2">
      <t>キギョウ</t>
    </rPh>
    <rPh sb="2" eb="4">
      <t>ネンレイ</t>
    </rPh>
    <phoneticPr fontId="3"/>
  </si>
  <si>
    <t>現預金</t>
    <rPh sb="0" eb="1">
      <t>ゲン</t>
    </rPh>
    <rPh sb="1" eb="3">
      <t>ヨキン</t>
    </rPh>
    <phoneticPr fontId="3"/>
  </si>
  <si>
    <t>売掛金</t>
    <rPh sb="0" eb="3">
      <t>ウリカケキン</t>
    </rPh>
    <phoneticPr fontId="3"/>
  </si>
  <si>
    <t>買掛金</t>
    <rPh sb="0" eb="3">
      <t>カイカケキン</t>
    </rPh>
    <phoneticPr fontId="3"/>
  </si>
  <si>
    <t>歳</t>
    <rPh sb="0" eb="1">
      <t>サイ</t>
    </rPh>
    <phoneticPr fontId="3"/>
  </si>
  <si>
    <t>合計</t>
    <rPh sb="0" eb="2">
      <t>ゴウケイ</t>
    </rPh>
    <phoneticPr fontId="3"/>
  </si>
  <si>
    <t>その他資産</t>
    <rPh sb="2" eb="3">
      <t>タ</t>
    </rPh>
    <rPh sb="3" eb="5">
      <t>シサン</t>
    </rPh>
    <phoneticPr fontId="3"/>
  </si>
  <si>
    <t>負債</t>
    <rPh sb="0" eb="2">
      <t>フサイ</t>
    </rPh>
    <phoneticPr fontId="3"/>
  </si>
  <si>
    <t>単位；千円</t>
    <rPh sb="0" eb="2">
      <t>タンイ</t>
    </rPh>
    <rPh sb="3" eb="5">
      <t>センエン</t>
    </rPh>
    <phoneticPr fontId="3"/>
  </si>
  <si>
    <t>金額</t>
    <rPh sb="0" eb="2">
      <t>キンガク</t>
    </rPh>
    <phoneticPr fontId="3"/>
  </si>
  <si>
    <t>その他流動負債</t>
    <rPh sb="2" eb="3">
      <t>タ</t>
    </rPh>
    <rPh sb="3" eb="5">
      <t>リュウドウ</t>
    </rPh>
    <rPh sb="5" eb="7">
      <t>フサイ</t>
    </rPh>
    <phoneticPr fontId="3"/>
  </si>
  <si>
    <t>その他流動資産</t>
    <rPh sb="2" eb="3">
      <t>タ</t>
    </rPh>
    <rPh sb="3" eb="5">
      <t>リュウドウ</t>
    </rPh>
    <rPh sb="5" eb="7">
      <t>シサン</t>
    </rPh>
    <phoneticPr fontId="3"/>
  </si>
  <si>
    <t>借入金</t>
    <rPh sb="0" eb="3">
      <t>カリイレキン</t>
    </rPh>
    <phoneticPr fontId="3"/>
  </si>
  <si>
    <t>(資金の準備)</t>
    <rPh sb="1" eb="3">
      <t>シキン</t>
    </rPh>
    <rPh sb="4" eb="6">
      <t>ジュンビ</t>
    </rPh>
    <phoneticPr fontId="3"/>
  </si>
  <si>
    <t>(事業の開始)</t>
    <rPh sb="1" eb="3">
      <t>ジギョウ</t>
    </rPh>
    <rPh sb="4" eb="6">
      <t>カイシ</t>
    </rPh>
    <phoneticPr fontId="3"/>
  </si>
  <si>
    <t>(１０年後の姿)</t>
    <rPh sb="3" eb="5">
      <t>ネンゴ</t>
    </rPh>
    <rPh sb="6" eb="7">
      <t>スガタ</t>
    </rPh>
    <phoneticPr fontId="3"/>
  </si>
  <si>
    <t>(金利)</t>
    <phoneticPr fontId="3"/>
  </si>
  <si>
    <t>(返済回数)</t>
    <phoneticPr fontId="3"/>
  </si>
  <si>
    <t>(据置月数)</t>
    <rPh sb="1" eb="3">
      <t>スエオキ</t>
    </rPh>
    <rPh sb="3" eb="5">
      <t>ツキスウ</t>
    </rPh>
    <phoneticPr fontId="3"/>
  </si>
  <si>
    <t>メモ-1</t>
    <phoneticPr fontId="6"/>
  </si>
  <si>
    <t>メモ-2</t>
    <phoneticPr fontId="3"/>
  </si>
  <si>
    <t>希望する年収</t>
    <rPh sb="0" eb="2">
      <t>キボウ</t>
    </rPh>
    <rPh sb="4" eb="6">
      <t>ネンシュウ</t>
    </rPh>
    <phoneticPr fontId="3"/>
  </si>
  <si>
    <t>経費積算</t>
    <rPh sb="0" eb="2">
      <t>ケイヒ</t>
    </rPh>
    <phoneticPr fontId="3"/>
  </si>
  <si>
    <t>C</t>
    <phoneticPr fontId="3"/>
  </si>
  <si>
    <t>D</t>
    <phoneticPr fontId="3"/>
  </si>
  <si>
    <t>E</t>
    <phoneticPr fontId="3"/>
  </si>
  <si>
    <t>実顧客数</t>
    <rPh sb="0" eb="1">
      <t>ジツ</t>
    </rPh>
    <rPh sb="1" eb="4">
      <t>コキャクスウ</t>
    </rPh>
    <phoneticPr fontId="6"/>
  </si>
  <si>
    <t>⑦年リピート回数</t>
    <rPh sb="1" eb="2">
      <t>ネン</t>
    </rPh>
    <rPh sb="6" eb="8">
      <t>カイスウ</t>
    </rPh>
    <phoneticPr fontId="6"/>
  </si>
  <si>
    <t>⑩</t>
    <phoneticPr fontId="6"/>
  </si>
  <si>
    <t>⑪</t>
    <phoneticPr fontId="6"/>
  </si>
  <si>
    <t>⑫</t>
    <phoneticPr fontId="6"/>
  </si>
  <si>
    <t>⑬総合計</t>
    <rPh sb="1" eb="4">
      <t>ソウゴウケイ</t>
    </rPh>
    <phoneticPr fontId="3"/>
  </si>
  <si>
    <t>②一日客数</t>
    <rPh sb="1" eb="3">
      <t>イチニチ</t>
    </rPh>
    <rPh sb="3" eb="5">
      <t>キャクスウ</t>
    </rPh>
    <phoneticPr fontId="6"/>
  </si>
  <si>
    <t>③月営業日数</t>
    <rPh sb="1" eb="2">
      <t>ツキ</t>
    </rPh>
    <rPh sb="2" eb="4">
      <t>エイギョウ</t>
    </rPh>
    <rPh sb="4" eb="6">
      <t>ニッスウ</t>
    </rPh>
    <phoneticPr fontId="6"/>
  </si>
  <si>
    <t>④年稼働月数</t>
    <rPh sb="1" eb="2">
      <t>ネン</t>
    </rPh>
    <rPh sb="2" eb="4">
      <t>カドウ</t>
    </rPh>
    <rPh sb="4" eb="6">
      <t>ツキスウ</t>
    </rPh>
    <phoneticPr fontId="6"/>
  </si>
  <si>
    <t>現金</t>
    <rPh sb="0" eb="2">
      <t>ゲンキン</t>
    </rPh>
    <phoneticPr fontId="3"/>
  </si>
  <si>
    <t>事業主へ　(アップ)</t>
    <rPh sb="0" eb="3">
      <t>ジギョウヌシ</t>
    </rPh>
    <phoneticPr fontId="3"/>
  </si>
  <si>
    <t>送料、箱代その他、その売上が増えると直接関係する経費</t>
    <rPh sb="0" eb="2">
      <t>ソウリョウ</t>
    </rPh>
    <rPh sb="3" eb="5">
      <t>ハコダイ</t>
    </rPh>
    <rPh sb="7" eb="8">
      <t>タ</t>
    </rPh>
    <rPh sb="11" eb="13">
      <t>ウリアゲ</t>
    </rPh>
    <rPh sb="14" eb="15">
      <t>フ</t>
    </rPh>
    <rPh sb="18" eb="20">
      <t>チョクセツ</t>
    </rPh>
    <rPh sb="20" eb="22">
      <t>カンケイ</t>
    </rPh>
    <rPh sb="24" eb="26">
      <t>ケイヒ</t>
    </rPh>
    <phoneticPr fontId="3"/>
  </si>
  <si>
    <t>←売掛金残</t>
    <rPh sb="1" eb="4">
      <t>ウリカケキン</t>
    </rPh>
    <rPh sb="4" eb="5">
      <t>ザン</t>
    </rPh>
    <phoneticPr fontId="3"/>
  </si>
  <si>
    <t>←買掛金残</t>
    <rPh sb="1" eb="4">
      <t>カイカケキン</t>
    </rPh>
    <rPh sb="4" eb="5">
      <t>ザン</t>
    </rPh>
    <phoneticPr fontId="3"/>
  </si>
  <si>
    <t>売掛金の増減</t>
    <rPh sb="0" eb="3">
      <t>ウリカケキン</t>
    </rPh>
    <rPh sb="4" eb="6">
      <t>ゾウゲン</t>
    </rPh>
    <phoneticPr fontId="3"/>
  </si>
  <si>
    <t>増加△、減少＋</t>
    <rPh sb="0" eb="2">
      <t>ゾウカ</t>
    </rPh>
    <rPh sb="4" eb="6">
      <t>ゲンショウ</t>
    </rPh>
    <phoneticPr fontId="3"/>
  </si>
  <si>
    <t>在庫の増減</t>
    <rPh sb="0" eb="2">
      <t>ザイコ</t>
    </rPh>
    <rPh sb="3" eb="5">
      <t>ゾウゲン</t>
    </rPh>
    <phoneticPr fontId="3"/>
  </si>
  <si>
    <t>買掛金の増減</t>
    <rPh sb="0" eb="3">
      <t>カイカケキン</t>
    </rPh>
    <rPh sb="4" eb="6">
      <t>ゾウゲン</t>
    </rPh>
    <phoneticPr fontId="6"/>
  </si>
  <si>
    <t>増加＋、減少△</t>
    <rPh sb="0" eb="2">
      <t>ゾウカ</t>
    </rPh>
    <rPh sb="4" eb="6">
      <t>ゲンショウ</t>
    </rPh>
    <phoneticPr fontId="3"/>
  </si>
  <si>
    <t>元入金</t>
    <rPh sb="0" eb="2">
      <t>モトイレ</t>
    </rPh>
    <rPh sb="2" eb="3">
      <t>キン</t>
    </rPh>
    <phoneticPr fontId="6"/>
  </si>
  <si>
    <t>新たな設備</t>
    <rPh sb="0" eb="1">
      <t>アラ</t>
    </rPh>
    <rPh sb="3" eb="5">
      <t>セツビ</t>
    </rPh>
    <phoneticPr fontId="3"/>
  </si>
  <si>
    <t>※キャッシュフロー49行目</t>
    <rPh sb="11" eb="13">
      <t>ギョウメ</t>
    </rPh>
    <phoneticPr fontId="3"/>
  </si>
  <si>
    <t>人件費小計</t>
    <rPh sb="0" eb="3">
      <t>ジンケンヒ</t>
    </rPh>
    <rPh sb="3" eb="5">
      <t>ショウケイ</t>
    </rPh>
    <phoneticPr fontId="3"/>
  </si>
  <si>
    <t>「売上の積算」シートとリンクしています。</t>
    <rPh sb="1" eb="3">
      <t>ウリアゲ</t>
    </rPh>
    <rPh sb="4" eb="6">
      <t>セキサン</t>
    </rPh>
    <phoneticPr fontId="3"/>
  </si>
  <si>
    <t>⑤祭事その他</t>
    <rPh sb="1" eb="3">
      <t>サイジ</t>
    </rPh>
    <rPh sb="5" eb="6">
      <t>タ</t>
    </rPh>
    <phoneticPr fontId="6"/>
  </si>
  <si>
    <t>①客単価など</t>
    <rPh sb="1" eb="4">
      <t>キャクタンカ</t>
    </rPh>
    <phoneticPr fontId="6"/>
  </si>
  <si>
    <t>客数、回数など</t>
    <rPh sb="0" eb="2">
      <t>キャクスウ</t>
    </rPh>
    <rPh sb="3" eb="5">
      <t>カイスウ</t>
    </rPh>
    <phoneticPr fontId="3"/>
  </si>
  <si>
    <t>⑥合計＝②～⑤を乗算</t>
    <rPh sb="1" eb="3">
      <t>ゴウケイ</t>
    </rPh>
    <rPh sb="8" eb="10">
      <t>ジョウザン</t>
    </rPh>
    <phoneticPr fontId="6"/>
  </si>
  <si>
    <t>⑨＝①×⑥</t>
    <phoneticPr fontId="6"/>
  </si>
  <si>
    <t>⑧顧客数＝⑥÷⑦</t>
    <rPh sb="1" eb="4">
      <t>コキャクスウ</t>
    </rPh>
    <phoneticPr fontId="6"/>
  </si>
  <si>
    <t>貢献利益率</t>
    <phoneticPr fontId="6"/>
  </si>
  <si>
    <t>顧客数</t>
    <rPh sb="0" eb="3">
      <t>コキャクスウ</t>
    </rPh>
    <phoneticPr fontId="3"/>
  </si>
  <si>
    <t>送料</t>
    <rPh sb="0" eb="2">
      <t>ソウリョウ</t>
    </rPh>
    <phoneticPr fontId="3"/>
  </si>
  <si>
    <t>箱代</t>
    <rPh sb="0" eb="2">
      <t>ハコダイ</t>
    </rPh>
    <phoneticPr fontId="3"/>
  </si>
  <si>
    <t>経営外支出</t>
    <rPh sb="0" eb="2">
      <t>ケイエイ</t>
    </rPh>
    <rPh sb="2" eb="3">
      <t>ソト</t>
    </rPh>
    <rPh sb="3" eb="5">
      <t>シシュツ</t>
    </rPh>
    <phoneticPr fontId="3"/>
  </si>
  <si>
    <t xml:space="preserve">長期借入金 </t>
    <rPh sb="0" eb="2">
      <t>チョウキ</t>
    </rPh>
    <rPh sb="2" eb="4">
      <t>カリイレ</t>
    </rPh>
    <phoneticPr fontId="6"/>
  </si>
  <si>
    <t>短期借入金</t>
    <rPh sb="0" eb="2">
      <t>タンキ</t>
    </rPh>
    <rPh sb="2" eb="4">
      <t>カリイレ</t>
    </rPh>
    <rPh sb="4" eb="5">
      <t>キン</t>
    </rPh>
    <phoneticPr fontId="6"/>
  </si>
  <si>
    <t>※57行目の新規借入金</t>
    <rPh sb="3" eb="5">
      <t>ギョウメ</t>
    </rPh>
    <rPh sb="6" eb="8">
      <t>シンキ</t>
    </rPh>
    <rPh sb="8" eb="11">
      <t>カリイレキン</t>
    </rPh>
    <phoneticPr fontId="3"/>
  </si>
  <si>
    <t>仕入</t>
    <rPh sb="0" eb="2">
      <t>シイレ</t>
    </rPh>
    <phoneticPr fontId="3"/>
  </si>
  <si>
    <t>減価償却費の計算</t>
    <phoneticPr fontId="3"/>
  </si>
  <si>
    <t>金額</t>
    <rPh sb="0" eb="2">
      <t>キンガク</t>
    </rPh>
    <phoneticPr fontId="6"/>
  </si>
  <si>
    <r>
      <t>URL</t>
    </r>
    <r>
      <rPr>
        <sz val="11"/>
        <color rgb="FF000000"/>
        <rFont val="ＭＳ Ｐゴシック"/>
        <family val="3"/>
        <charset val="128"/>
      </rPr>
      <t>；</t>
    </r>
  </si>
  <si>
    <t>https://www.e-stat.go.jp/stat-search/files?page=1&amp;toukei=00200521&amp;tstat=000001136464</t>
  </si>
  <si>
    <t>http://gkmyhn.sub.jp/wp7/wp-content/uploads/2022/01/佐渡の品目別消費支出.xls</t>
  </si>
  <si>
    <t>従業員採用　パート</t>
    <rPh sb="0" eb="3">
      <t>ジュウギョウイン</t>
    </rPh>
    <rPh sb="3" eb="5">
      <t>サイヨウ</t>
    </rPh>
    <phoneticPr fontId="3"/>
  </si>
  <si>
    <t>経費　コストアップ</t>
    <rPh sb="0" eb="2">
      <t>ケイヒ</t>
    </rPh>
    <phoneticPr fontId="3"/>
  </si>
  <si>
    <t>減価償却資産</t>
    <rPh sb="0" eb="6">
      <t>ゲンカショウキャクシサン</t>
    </rPh>
    <phoneticPr fontId="3"/>
  </si>
  <si>
    <t>借入金</t>
    <rPh sb="0" eb="3">
      <t>カリイレキン</t>
    </rPh>
    <phoneticPr fontId="3"/>
  </si>
  <si>
    <t>減価償却資産購入</t>
    <rPh sb="0" eb="4">
      <t>ゲンカショウキャク</t>
    </rPh>
    <rPh sb="4" eb="6">
      <t>シサン</t>
    </rPh>
    <rPh sb="6" eb="8">
      <t>コウニュウ</t>
    </rPh>
    <phoneticPr fontId="3"/>
  </si>
  <si>
    <t>新規借入金</t>
    <rPh sb="0" eb="2">
      <t>シンキ</t>
    </rPh>
    <rPh sb="2" eb="5">
      <t>カリイレキン</t>
    </rPh>
    <phoneticPr fontId="3"/>
  </si>
  <si>
    <t>資金不足の自動借入</t>
    <rPh sb="0" eb="4">
      <t>シキンブソク</t>
    </rPh>
    <rPh sb="5" eb="7">
      <t>ジドウ</t>
    </rPh>
    <rPh sb="7" eb="9">
      <t>カリイレ</t>
    </rPh>
    <phoneticPr fontId="3"/>
  </si>
  <si>
    <t>計画的な設備購入など</t>
    <rPh sb="0" eb="3">
      <t>ケイカクテキ</t>
    </rPh>
    <rPh sb="4" eb="6">
      <t>セツビ</t>
    </rPh>
    <rPh sb="6" eb="8">
      <t>コウニュウ</t>
    </rPh>
    <phoneticPr fontId="3"/>
  </si>
  <si>
    <t>※1</t>
    <phoneticPr fontId="3"/>
  </si>
  <si>
    <t>※2</t>
    <phoneticPr fontId="3"/>
  </si>
  <si>
    <t>※1の対応分</t>
    <rPh sb="3" eb="6">
      <t>タイオウブン</t>
    </rPh>
    <phoneticPr fontId="3"/>
  </si>
  <si>
    <t>※2の対応分</t>
    <rPh sb="3" eb="6">
      <t>タイオウブン</t>
    </rPh>
    <phoneticPr fontId="3"/>
  </si>
  <si>
    <t>その他負債</t>
    <rPh sb="2" eb="3">
      <t>タ</t>
    </rPh>
    <rPh sb="3" eb="5">
      <t>フサイ</t>
    </rPh>
    <phoneticPr fontId="3"/>
  </si>
  <si>
    <t>その他資産</t>
    <rPh sb="2" eb="3">
      <t>タ</t>
    </rPh>
    <rPh sb="3" eb="5">
      <t>シサン</t>
    </rPh>
    <phoneticPr fontId="3"/>
  </si>
  <si>
    <t>借入条件</t>
    <rPh sb="0" eb="4">
      <t>カリイレジョウケン</t>
    </rPh>
    <phoneticPr fontId="3"/>
  </si>
  <si>
    <t>合計</t>
    <rPh sb="0" eb="2">
      <t>ゴウケイ</t>
    </rPh>
    <phoneticPr fontId="3"/>
  </si>
  <si>
    <t>**</t>
    <phoneticPr fontId="3"/>
  </si>
  <si>
    <t>減価償却資産</t>
    <rPh sb="0" eb="4">
      <t>ゲンカショウキャク</t>
    </rPh>
    <rPh sb="4" eb="6">
      <t>シサン</t>
    </rPh>
    <phoneticPr fontId="3"/>
  </si>
  <si>
    <t>新製品開発販売</t>
    <rPh sb="0" eb="3">
      <t>シンセイヒン</t>
    </rPh>
    <rPh sb="3" eb="5">
      <t>カイハツ</t>
    </rPh>
    <rPh sb="5" eb="7">
      <t>ハンバイ</t>
    </rPh>
    <phoneticPr fontId="3"/>
  </si>
  <si>
    <t>新製品開発販売　※原価率改善</t>
    <rPh sb="0" eb="3">
      <t>シンセイヒン</t>
    </rPh>
    <rPh sb="3" eb="5">
      <t>カイハツ</t>
    </rPh>
    <rPh sb="5" eb="7">
      <t>ハンバイ</t>
    </rPh>
    <rPh sb="9" eb="12">
      <t>ゲンカリツ</t>
    </rPh>
    <rPh sb="12" eb="14">
      <t>カイゼン</t>
    </rPh>
    <phoneticPr fontId="3"/>
  </si>
  <si>
    <t>売上増減④</t>
    <rPh sb="0" eb="2">
      <t>ウリアゲ</t>
    </rPh>
    <rPh sb="2" eb="4">
      <t>ゾウゲン</t>
    </rPh>
    <phoneticPr fontId="3"/>
  </si>
  <si>
    <t>売上増減⑤</t>
    <rPh sb="0" eb="2">
      <t>ウリアゲ</t>
    </rPh>
    <rPh sb="2" eb="4">
      <t>ゾウゲン</t>
    </rPh>
    <phoneticPr fontId="3"/>
  </si>
  <si>
    <r>
      <t>仕入増減④　　　</t>
    </r>
    <r>
      <rPr>
        <sz val="10"/>
        <color theme="1"/>
        <rFont val="ＭＳ Ｐゴシック"/>
        <family val="3"/>
        <charset val="128"/>
        <scheme val="minor"/>
      </rPr>
      <t>※売上増減④に対応</t>
    </r>
    <rPh sb="0" eb="2">
      <t>シイレ</t>
    </rPh>
    <rPh sb="2" eb="4">
      <t>ゾウゲン</t>
    </rPh>
    <phoneticPr fontId="3"/>
  </si>
  <si>
    <r>
      <t>仕入増減⑤　　　</t>
    </r>
    <r>
      <rPr>
        <sz val="10"/>
        <color theme="1"/>
        <rFont val="ＭＳ Ｐゴシック"/>
        <family val="3"/>
        <charset val="128"/>
        <scheme val="minor"/>
      </rPr>
      <t>※売上増減⑤に対応</t>
    </r>
    <rPh sb="0" eb="2">
      <t>シイレ</t>
    </rPh>
    <rPh sb="2" eb="4">
      <t>ゾウゲン</t>
    </rPh>
    <phoneticPr fontId="3"/>
  </si>
  <si>
    <t>　@800*4h*23日</t>
    <rPh sb="11" eb="12">
      <t>ニチ</t>
    </rPh>
    <phoneticPr fontId="3"/>
  </si>
  <si>
    <t>※事業主へ</t>
    <rPh sb="1" eb="4">
      <t>ジギョウヌシ</t>
    </rPh>
    <phoneticPr fontId="3"/>
  </si>
  <si>
    <t>三つの表の合計</t>
    <rPh sb="0" eb="1">
      <t>ミッ</t>
    </rPh>
    <rPh sb="3" eb="4">
      <t>ヒョウ</t>
    </rPh>
    <rPh sb="5" eb="7">
      <t>ゴウケイ</t>
    </rPh>
    <phoneticPr fontId="3"/>
  </si>
  <si>
    <t>この表は使わないでください。</t>
    <rPh sb="2" eb="3">
      <t>ヒョウ</t>
    </rPh>
    <rPh sb="4" eb="5">
      <t>ツカ</t>
    </rPh>
    <phoneticPr fontId="3"/>
  </si>
  <si>
    <t>借入額</t>
    <rPh sb="0" eb="3">
      <t>カリイレガク</t>
    </rPh>
    <phoneticPr fontId="3"/>
  </si>
  <si>
    <t>金利</t>
    <phoneticPr fontId="3"/>
  </si>
  <si>
    <t>返済回数</t>
    <phoneticPr fontId="3"/>
  </si>
  <si>
    <t>(運転資金)</t>
    <rPh sb="1" eb="5">
      <t>ウンテンシキン</t>
    </rPh>
    <phoneticPr fontId="3"/>
  </si>
  <si>
    <t>千円</t>
    <rPh sb="0" eb="2">
      <t>センエン</t>
    </rPh>
    <phoneticPr fontId="3"/>
  </si>
  <si>
    <t>※但し、設備資金、運転資金の合計</t>
    <rPh sb="1" eb="2">
      <t>タダ</t>
    </rPh>
    <rPh sb="4" eb="6">
      <t>セツビ</t>
    </rPh>
    <rPh sb="6" eb="8">
      <t>シキン</t>
    </rPh>
    <rPh sb="9" eb="13">
      <t>ウンテンシキン</t>
    </rPh>
    <rPh sb="14" eb="16">
      <t>ゴウケイ</t>
    </rPh>
    <phoneticPr fontId="3"/>
  </si>
  <si>
    <t>対前年50％づつアップ目標</t>
    <rPh sb="0" eb="3">
      <t>タイゼンネン</t>
    </rPh>
    <rPh sb="11" eb="13">
      <t>モクヒョウ</t>
    </rPh>
    <phoneticPr fontId="3"/>
  </si>
  <si>
    <t>事業主へ</t>
    <rPh sb="0" eb="3">
      <t>ジギョウヌシ</t>
    </rPh>
    <phoneticPr fontId="3"/>
  </si>
  <si>
    <t>自己資金(現預金)</t>
    <rPh sb="0" eb="4">
      <t>ジコシキン</t>
    </rPh>
    <rPh sb="5" eb="8">
      <t>ゲンヨキン</t>
    </rPh>
    <phoneticPr fontId="3"/>
  </si>
  <si>
    <t>開業費</t>
    <rPh sb="0" eb="3">
      <t>カイギョウヒ</t>
    </rPh>
    <phoneticPr fontId="3"/>
  </si>
  <si>
    <t>キャッシュフロー計算書</t>
    <rPh sb="8" eb="11">
      <t>ケイサンショ</t>
    </rPh>
    <phoneticPr fontId="6"/>
  </si>
  <si>
    <t>償却前経常利益</t>
    <rPh sb="0" eb="2">
      <t>ショウキャク</t>
    </rPh>
    <rPh sb="2" eb="3">
      <t>マエ</t>
    </rPh>
    <rPh sb="3" eb="5">
      <t>ケイジョウ</t>
    </rPh>
    <rPh sb="5" eb="7">
      <t>リエキ</t>
    </rPh>
    <phoneticPr fontId="3"/>
  </si>
  <si>
    <t>従業者一人当たり売上高</t>
    <rPh sb="0" eb="3">
      <t>ジュウギョウシャ</t>
    </rPh>
    <rPh sb="3" eb="6">
      <t>ヒトリア</t>
    </rPh>
    <rPh sb="8" eb="11">
      <t>ウリアゲダカ</t>
    </rPh>
    <phoneticPr fontId="3"/>
  </si>
  <si>
    <t>指標の名称</t>
    <rPh sb="0" eb="2">
      <t>シヒョウ</t>
    </rPh>
    <rPh sb="3" eb="5">
      <t>メイショウ</t>
    </rPh>
    <phoneticPr fontId="3"/>
  </si>
  <si>
    <t>売上高総利益率</t>
    <rPh sb="0" eb="3">
      <t>ウリアゲダカ</t>
    </rPh>
    <rPh sb="3" eb="7">
      <t>ソウリエキリツ</t>
    </rPh>
    <phoneticPr fontId="3"/>
  </si>
  <si>
    <t>諸経費対売上高比率  ※1</t>
    <rPh sb="0" eb="3">
      <t>ショケイヒ</t>
    </rPh>
    <rPh sb="3" eb="4">
      <t>タイ</t>
    </rPh>
    <rPh sb="4" eb="7">
      <t>ウリアゲダカ</t>
    </rPh>
    <rPh sb="7" eb="9">
      <t>ヒリツ</t>
    </rPh>
    <phoneticPr fontId="3"/>
  </si>
  <si>
    <t>建設業</t>
    <rPh sb="0" eb="3">
      <t>ケンセツギョウ</t>
    </rPh>
    <phoneticPr fontId="3"/>
  </si>
  <si>
    <t>内容；全国の集落など小地域集計のデータ</t>
    <rPh sb="3" eb="5">
      <t>ゼンコク</t>
    </rPh>
    <rPh sb="6" eb="8">
      <t>シュウラク</t>
    </rPh>
    <rPh sb="10" eb="11">
      <t>ショウ</t>
    </rPh>
    <phoneticPr fontId="3"/>
  </si>
  <si>
    <t>次のURLの「e-Stst」のサイトへ→「＋小地域集計」の「＋」をクリック→該当「都道府県」クリック→「3　男女，年齢（5歳階級）別人口，平均年齢及び総年齢－町丁・字等」の右側の「csv」をクリックしてダウンロード→旧「大字」「小字」単位の男女別、年齢階層別人口があります。</t>
    <rPh sb="22" eb="25">
      <t>ショウチイキ</t>
    </rPh>
    <rPh sb="25" eb="27">
      <t>シュウケイ</t>
    </rPh>
    <rPh sb="38" eb="40">
      <t>ガイトウ</t>
    </rPh>
    <rPh sb="41" eb="43">
      <t>トドウ</t>
    </rPh>
    <rPh sb="43" eb="45">
      <t>フケン</t>
    </rPh>
    <rPh sb="86" eb="88">
      <t>ミギガワ</t>
    </rPh>
    <rPh sb="108" eb="109">
      <t>キュウ</t>
    </rPh>
    <rPh sb="110" eb="112">
      <t>オオアザ</t>
    </rPh>
    <rPh sb="114" eb="116">
      <t>コアザ</t>
    </rPh>
    <rPh sb="117" eb="119">
      <t>タンイ</t>
    </rPh>
    <rPh sb="120" eb="123">
      <t>ダンジョベツ</t>
    </rPh>
    <rPh sb="124" eb="129">
      <t>ネンレイカイソウベツ</t>
    </rPh>
    <rPh sb="129" eb="131">
      <t>ジンコウ</t>
    </rPh>
    <phoneticPr fontId="3"/>
  </si>
  <si>
    <t>内容；一人当たり消費支出</t>
    <rPh sb="0" eb="2">
      <t>ナイヨウ</t>
    </rPh>
    <rPh sb="3" eb="6">
      <t>ヒトリア</t>
    </rPh>
    <rPh sb="8" eb="12">
      <t>ショウヒシシュツ</t>
    </rPh>
    <phoneticPr fontId="3"/>
  </si>
  <si>
    <r>
      <t>出所；「令和</t>
    </r>
    <r>
      <rPr>
        <sz val="11"/>
        <color rgb="FF000000"/>
        <rFont val="Calibri"/>
        <family val="2"/>
      </rPr>
      <t>2</t>
    </r>
    <r>
      <rPr>
        <sz val="11"/>
        <color rgb="FF000000"/>
        <rFont val="ＭＳ Ｐゴシック"/>
        <family val="3"/>
        <charset val="128"/>
      </rPr>
      <t>年国勢調査結果」（総務省統計局</t>
    </r>
    <r>
      <rPr>
        <sz val="11"/>
        <color rgb="FF000000"/>
        <rFont val="Calibri"/>
        <family val="2"/>
      </rPr>
      <t>)</t>
    </r>
    <rPh sb="0" eb="2">
      <t>シュッショ</t>
    </rPh>
    <phoneticPr fontId="3"/>
  </si>
  <si>
    <t>出所；家計調査データと一部加工</t>
    <rPh sb="0" eb="2">
      <t>シュッショ</t>
    </rPh>
    <rPh sb="3" eb="7">
      <t>カケイチョウサ</t>
    </rPh>
    <rPh sb="11" eb="13">
      <t>イチブ</t>
    </rPh>
    <rPh sb="13" eb="15">
      <t>カコウ</t>
    </rPh>
    <phoneticPr fontId="3"/>
  </si>
  <si>
    <t>次のURLをクリックしてダウンロード。佐渡島用に過去に作成したものですが、世帯人数を一人当たりにしたものですので、他地域でも使えると思います。</t>
    <rPh sb="0" eb="1">
      <t>ツギ</t>
    </rPh>
    <rPh sb="19" eb="21">
      <t>サド</t>
    </rPh>
    <rPh sb="21" eb="22">
      <t>シマ</t>
    </rPh>
    <rPh sb="22" eb="23">
      <t>ヨウ</t>
    </rPh>
    <rPh sb="24" eb="26">
      <t>カコ</t>
    </rPh>
    <rPh sb="27" eb="29">
      <t>サクセイ</t>
    </rPh>
    <rPh sb="37" eb="39">
      <t>セタイ</t>
    </rPh>
    <rPh sb="39" eb="41">
      <t>ニンズウ</t>
    </rPh>
    <rPh sb="42" eb="44">
      <t>ヒトリ</t>
    </rPh>
    <rPh sb="44" eb="45">
      <t>ア</t>
    </rPh>
    <rPh sb="57" eb="60">
      <t>タチイキ</t>
    </rPh>
    <rPh sb="62" eb="63">
      <t>ツカ</t>
    </rPh>
    <rPh sb="66" eb="67">
      <t>オモ</t>
    </rPh>
    <phoneticPr fontId="3"/>
  </si>
  <si>
    <t>内容；全国の事業所数と従業者数の「大字」別の集計</t>
  </si>
  <si>
    <t>出所；平成26年経済センサス‐基礎調査　確報集計　町丁・大字別集計</t>
  </si>
  <si>
    <t>次のURLをクリック⇒表の下方にある該当都道府県をさがす⇒右側にある「CVS」をダウンロード</t>
  </si>
  <si>
    <r>
      <t>URL</t>
    </r>
    <r>
      <rPr>
        <sz val="11"/>
        <color rgb="FF000000"/>
        <rFont val="ＭＳ Ｐゴシック"/>
        <family val="3"/>
        <charset val="128"/>
      </rPr>
      <t>；</t>
    </r>
    <phoneticPr fontId="3"/>
  </si>
  <si>
    <t>URL；</t>
  </si>
  <si>
    <t>https://www.e-stat.go.jp/stat-search/files?page=1&amp;layout=datalist&amp;toukei=00200552&amp;tstat=000001072573&amp;cycle=0&amp;tclass1=000001080756&amp;tclass2val=0</t>
    <phoneticPr fontId="3"/>
  </si>
  <si>
    <t>粗利益率はもちろん、経費も売上もわからないという方は、当面は次の方法をとり、後で徐々に積算して精度アップすることもよいでしょう。</t>
    <rPh sb="0" eb="3">
      <t>アラリエキ</t>
    </rPh>
    <rPh sb="3" eb="4">
      <t>リツ</t>
    </rPh>
    <rPh sb="10" eb="12">
      <t>ケイヒ</t>
    </rPh>
    <rPh sb="13" eb="15">
      <t>ウリアゲ</t>
    </rPh>
    <rPh sb="24" eb="25">
      <t>カタ</t>
    </rPh>
    <phoneticPr fontId="3"/>
  </si>
  <si>
    <t>小売業など建設業以外の業種</t>
  </si>
  <si>
    <t>一括計上する欄</t>
    <rPh sb="0" eb="2">
      <t>イッカツ</t>
    </rPh>
    <rPh sb="2" eb="4">
      <t>ケイジョウ</t>
    </rPh>
    <rPh sb="6" eb="7">
      <t>ラン</t>
    </rPh>
    <phoneticPr fontId="3"/>
  </si>
  <si>
    <t>総利益率</t>
    <rPh sb="0" eb="1">
      <t>ソウ</t>
    </rPh>
    <phoneticPr fontId="6"/>
  </si>
  <si>
    <t>初年月数</t>
    <rPh sb="0" eb="2">
      <t>ショネン</t>
    </rPh>
    <rPh sb="2" eb="4">
      <t>ツキスウ</t>
    </rPh>
    <phoneticPr fontId="3"/>
  </si>
  <si>
    <t>在庫分</t>
    <rPh sb="0" eb="3">
      <t>ザイコブン</t>
    </rPh>
    <phoneticPr fontId="3"/>
  </si>
  <si>
    <t>※在庫は期首に購入とする。</t>
    <rPh sb="1" eb="3">
      <t>ザイコ</t>
    </rPh>
    <rPh sb="4" eb="6">
      <t>キシュ</t>
    </rPh>
    <rPh sb="7" eb="9">
      <t>コウニュウ</t>
    </rPh>
    <phoneticPr fontId="3"/>
  </si>
  <si>
    <t>※端数処理の関係で「合計」が±1前後異なる場合があります。</t>
    <rPh sb="1" eb="3">
      <t>ハスウ</t>
    </rPh>
    <rPh sb="3" eb="5">
      <t>ショリ</t>
    </rPh>
    <rPh sb="6" eb="8">
      <t>カンケイ</t>
    </rPh>
    <rPh sb="10" eb="12">
      <t>ゴウケイ</t>
    </rPh>
    <rPh sb="16" eb="18">
      <t>ゼンゴ</t>
    </rPh>
    <rPh sb="18" eb="19">
      <t>コト</t>
    </rPh>
    <rPh sb="21" eb="23">
      <t>バアイ</t>
    </rPh>
    <phoneticPr fontId="3"/>
  </si>
  <si>
    <t>例;　送る</t>
    <phoneticPr fontId="3"/>
  </si>
  <si>
    <t>完成工事高総利益率</t>
    <phoneticPr fontId="3"/>
  </si>
  <si>
    <t>■人口</t>
    <phoneticPr fontId="3"/>
  </si>
  <si>
    <t>■事業所、従業者数</t>
    <phoneticPr fontId="3"/>
  </si>
  <si>
    <t>■消費支出</t>
    <phoneticPr fontId="3"/>
  </si>
  <si>
    <t>指標値</t>
    <rPh sb="0" eb="2">
      <t>シヒョウ</t>
    </rPh>
    <rPh sb="2" eb="3">
      <t>アタイ</t>
    </rPh>
    <phoneticPr fontId="3"/>
  </si>
  <si>
    <t>使用数値</t>
    <rPh sb="0" eb="2">
      <t>シヨウ</t>
    </rPh>
    <rPh sb="2" eb="4">
      <t>スウチ</t>
    </rPh>
    <phoneticPr fontId="3"/>
  </si>
  <si>
    <t>■「売上高」「総利益率」「経費額」の全部又は一部がわからない場合</t>
    <phoneticPr fontId="3"/>
  </si>
  <si>
    <t>次のURLの日本政策金融公庫のサイトへ　→「小企業の経営指標調査」の下方にある「調査結果」にある該当「業種」の「売上高規模別」又は「従業員規模別」をクリック</t>
    <rPh sb="0" eb="1">
      <t>ツギ</t>
    </rPh>
    <rPh sb="6" eb="8">
      <t>ニホン</t>
    </rPh>
    <rPh sb="48" eb="50">
      <t>ガイトウ</t>
    </rPh>
    <rPh sb="51" eb="53">
      <t>ギョウシュ</t>
    </rPh>
    <phoneticPr fontId="3"/>
  </si>
  <si>
    <t>　→最も上のページにある「目次」でもある該当「業種」をクリック　　→データを開いて下の表の「指標値」の項目をさがして、「1-4人」又は「5000万円未満」にある数値を表に転記ください。</t>
    <rPh sb="2" eb="3">
      <t>モット</t>
    </rPh>
    <rPh sb="4" eb="5">
      <t>ウエ</t>
    </rPh>
    <phoneticPr fontId="3"/>
  </si>
  <si>
    <t>※この指標は、起業後も、随時、自分の経営と他の経営を比較して経営改善の契機とするとよいでしょう。</t>
    <rPh sb="7" eb="9">
      <t>キギョウ</t>
    </rPh>
    <rPh sb="9" eb="10">
      <t>ゴ</t>
    </rPh>
    <rPh sb="12" eb="14">
      <t>ズイジ</t>
    </rPh>
    <rPh sb="15" eb="17">
      <t>ジブン</t>
    </rPh>
    <rPh sb="18" eb="20">
      <t>ケイエイ</t>
    </rPh>
    <rPh sb="21" eb="22">
      <t>タ</t>
    </rPh>
    <rPh sb="23" eb="25">
      <t>ケイエイ</t>
    </rPh>
    <rPh sb="26" eb="28">
      <t>ヒカク</t>
    </rPh>
    <rPh sb="30" eb="34">
      <t>ケイエイカイゼン</t>
    </rPh>
    <rPh sb="35" eb="37">
      <t>ケイキ</t>
    </rPh>
    <phoneticPr fontId="3"/>
  </si>
  <si>
    <t>→「売上の積算」シートの販売メニューの「総利益率」欄に転記します。</t>
    <rPh sb="2" eb="4">
      <t>ウリアゲ</t>
    </rPh>
    <rPh sb="5" eb="7">
      <t>セキサン</t>
    </rPh>
    <rPh sb="20" eb="21">
      <t>ソウ</t>
    </rPh>
    <rPh sb="21" eb="23">
      <t>リエキ</t>
    </rPh>
    <rPh sb="23" eb="24">
      <t>リツ</t>
    </rPh>
    <rPh sb="25" eb="26">
      <t>ラン</t>
    </rPh>
    <phoneticPr fontId="3"/>
  </si>
  <si>
    <t>従業者一人当たり売上高※2</t>
    <rPh sb="0" eb="3">
      <t>ジュウギョウシャ</t>
    </rPh>
    <rPh sb="3" eb="6">
      <t>ヒトリア</t>
    </rPh>
    <rPh sb="8" eb="11">
      <t>ウリアゲダカ</t>
    </rPh>
    <phoneticPr fontId="3"/>
  </si>
  <si>
    <t>諸経費対売上高比率※1</t>
    <rPh sb="0" eb="3">
      <t>ショケイヒ</t>
    </rPh>
    <rPh sb="3" eb="4">
      <t>タイ</t>
    </rPh>
    <rPh sb="4" eb="7">
      <t>ウリアゲダカ</t>
    </rPh>
    <rPh sb="7" eb="9">
      <t>ヒリツ</t>
    </rPh>
    <phoneticPr fontId="3"/>
  </si>
  <si>
    <t>千円。　→「売上の積算」シートの「売上高」欄の合計が、この数値に近くなるまで客数や客単価を変えます。</t>
    <rPh sb="6" eb="8">
      <t>ウリアゲ</t>
    </rPh>
    <rPh sb="9" eb="11">
      <t>セキサン</t>
    </rPh>
    <rPh sb="21" eb="22">
      <t>ラン</t>
    </rPh>
    <phoneticPr fontId="3"/>
  </si>
  <si>
    <t>千円。　→「経費の積算」シートへ転記します。</t>
    <rPh sb="6" eb="8">
      <t>ケイヒ</t>
    </rPh>
    <rPh sb="9" eb="11">
      <t>セキサン</t>
    </rPh>
    <rPh sb="16" eb="18">
      <t>テンキ</t>
    </rPh>
    <phoneticPr fontId="3"/>
  </si>
  <si>
    <t>※1　使用値=売上高×経費率</t>
    <phoneticPr fontId="3"/>
  </si>
  <si>
    <t>※2　当初売上高は、事業主一人で可能な額を基本とします。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</si>
</sst>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Red]\-#,##0.000"/>
    <numFmt numFmtId="177" formatCode="#,##0.00000;[Red]\-#,##0.00000"/>
    <numFmt numFmtId="178" formatCode="0.000"/>
    <numFmt numFmtId="179" formatCode="#,##0.0000;[Red]\-#,##0.0000"/>
    <numFmt numFmtId="180" formatCode="#,##0.000"/>
    <numFmt numFmtId="181" formatCode="0.0%"/>
    <numFmt numFmtId="182" formatCode="0_ ;[Red]\-0\ "/>
    <numFmt numFmtId="183" formatCode="0_);\(0\)"/>
    <numFmt numFmtId="184" formatCode="#,##0.0;[Red]\-#,##0.0"/>
  </numFmts>
  <fonts count="77">
    <font>
      <sz val="14"/>
      <name val="ＭＳ 明朝"/>
      <family val="1"/>
      <charset val="128"/>
    </font>
    <font>
      <sz val="11"/>
      <color theme="1"/>
      <name val="ＭＳ Ｐゴシック"/>
      <family val="2"/>
      <charset val="128"/>
      <scheme val="minor"/>
    </font>
    <font>
      <sz val="11"/>
      <color indexed="8"/>
      <name val="ＭＳ Ｐゴシック"/>
      <family val="3"/>
      <charset val="128"/>
    </font>
    <font>
      <sz val="7"/>
      <name val="ＭＳ 明朝"/>
      <family val="1"/>
      <charset val="128"/>
    </font>
    <font>
      <sz val="12"/>
      <name val="ＭＳ 明朝"/>
      <family val="1"/>
      <charset val="128"/>
    </font>
    <font>
      <sz val="11"/>
      <color indexed="8"/>
      <name val="ＭＳ Ｐゴシック"/>
      <family val="3"/>
      <charset val="128"/>
    </font>
    <font>
      <sz val="6"/>
      <name val="ＭＳ Ｐゴシック"/>
      <family val="3"/>
      <charset val="128"/>
    </font>
    <font>
      <b/>
      <sz val="9"/>
      <color indexed="8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3"/>
      <charset val="128"/>
      <scheme val="minor"/>
    </font>
    <font>
      <sz val="9"/>
      <color theme="1"/>
      <name val="Times New Roman"/>
      <family val="1"/>
    </font>
    <font>
      <sz val="11"/>
      <color rgb="FFFF0000"/>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11"/>
      <color rgb="FFC00000"/>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sz val="14"/>
      <name val="ＭＳ 明朝"/>
      <family val="1"/>
      <charset val="128"/>
    </font>
    <font>
      <sz val="10"/>
      <color theme="1"/>
      <name val="ＭＳ Ｐゴシック"/>
      <family val="3"/>
      <charset val="128"/>
      <scheme val="minor"/>
    </font>
    <font>
      <sz val="11"/>
      <color theme="1"/>
      <name val="ＭＳ Ｐゴシック"/>
      <family val="3"/>
      <charset val="128"/>
    </font>
    <font>
      <sz val="10"/>
      <color rgb="FFFF0000"/>
      <name val="ＭＳ Ｐゴシック"/>
      <family val="3"/>
      <charset val="128"/>
      <scheme val="minor"/>
    </font>
    <font>
      <b/>
      <sz val="12"/>
      <color theme="1"/>
      <name val="ＭＳ Ｐゴシック"/>
      <family val="3"/>
      <charset val="128"/>
      <scheme val="minor"/>
    </font>
    <font>
      <b/>
      <sz val="28"/>
      <color theme="1"/>
      <name val="ＭＳ Ｐゴシック"/>
      <family val="3"/>
      <charset val="128"/>
      <scheme val="minor"/>
    </font>
    <font>
      <b/>
      <sz val="11"/>
      <color rgb="FFC00000"/>
      <name val="ＭＳ Ｐゴシック"/>
      <family val="3"/>
      <charset val="128"/>
      <scheme val="minor"/>
    </font>
    <font>
      <b/>
      <sz val="11"/>
      <color rgb="FFFF0000"/>
      <name val="ＭＳ Ｐゴシック"/>
      <family val="3"/>
      <charset val="128"/>
      <scheme val="minor"/>
    </font>
    <font>
      <b/>
      <sz val="11"/>
      <name val="ＭＳ Ｐゴシック"/>
      <family val="3"/>
      <charset val="128"/>
    </font>
    <font>
      <sz val="9"/>
      <color indexed="10"/>
      <name val="ＭＳ Ｐゴシック"/>
      <family val="3"/>
      <charset val="128"/>
    </font>
    <font>
      <sz val="10"/>
      <name val="ＭＳ Ｐ明朝"/>
      <family val="1"/>
      <charset val="128"/>
    </font>
    <font>
      <sz val="12"/>
      <name val="ＭＳ Ｐゴシック"/>
      <family val="3"/>
      <charset val="128"/>
    </font>
    <font>
      <sz val="11"/>
      <color rgb="FFFF0000"/>
      <name val="ＭＳ Ｐゴシック"/>
      <family val="3"/>
      <charset val="128"/>
    </font>
    <font>
      <sz val="10"/>
      <color theme="1"/>
      <name val="ＭＳ Ｐ明朝"/>
      <family val="1"/>
      <charset val="128"/>
    </font>
    <font>
      <sz val="20"/>
      <name val="ＭＳ Ｐゴシック"/>
      <family val="3"/>
      <charset val="128"/>
    </font>
    <font>
      <sz val="7"/>
      <name val="ＭＳ Ｐ明朝"/>
      <family val="1"/>
      <charset val="128"/>
    </font>
    <font>
      <b/>
      <sz val="18"/>
      <name val="ＭＳ Ｐゴシック"/>
      <family val="3"/>
      <charset val="128"/>
    </font>
    <font>
      <sz val="14"/>
      <name val="ＭＳ Ｐゴシック"/>
      <family val="3"/>
      <charset val="128"/>
    </font>
    <font>
      <b/>
      <sz val="18"/>
      <color theme="1"/>
      <name val="ＭＳ Ｐゴシック"/>
      <family val="3"/>
      <charset val="128"/>
    </font>
    <font>
      <sz val="11"/>
      <color theme="0"/>
      <name val="ＭＳ Ｐゴシック"/>
      <family val="3"/>
      <charset val="128"/>
    </font>
    <font>
      <b/>
      <sz val="11"/>
      <color theme="1"/>
      <name val="ＭＳ Ｐゴシック"/>
      <family val="3"/>
      <charset val="128"/>
    </font>
    <font>
      <b/>
      <sz val="14"/>
      <color indexed="81"/>
      <name val="MS P ゴシック"/>
      <family val="3"/>
      <charset val="128"/>
    </font>
    <font>
      <b/>
      <sz val="14"/>
      <name val="ＭＳ 明朝"/>
      <family val="1"/>
      <charset val="128"/>
    </font>
    <font>
      <b/>
      <sz val="14"/>
      <color rgb="FFFF0000"/>
      <name val="ＭＳ 明朝"/>
      <family val="1"/>
      <charset val="128"/>
    </font>
    <font>
      <b/>
      <sz val="9"/>
      <color indexed="81"/>
      <name val="MS P ゴシック"/>
      <family val="3"/>
      <charset val="128"/>
    </font>
    <font>
      <u/>
      <sz val="14"/>
      <color theme="10"/>
      <name val="ＭＳ 明朝"/>
      <family val="1"/>
      <charset val="128"/>
    </font>
    <font>
      <b/>
      <sz val="10"/>
      <color theme="1"/>
      <name val="ＭＳ Ｐゴシック"/>
      <family val="3"/>
      <charset val="128"/>
      <scheme val="minor"/>
    </font>
    <font>
      <strike/>
      <sz val="11"/>
      <color theme="1"/>
      <name val="ＭＳ Ｐゴシック"/>
      <family val="3"/>
      <charset val="128"/>
      <scheme val="minor"/>
    </font>
    <font>
      <sz val="10"/>
      <name val="ＭＳ Ｐゴシック"/>
      <family val="3"/>
      <charset val="128"/>
      <scheme val="minor"/>
    </font>
    <font>
      <b/>
      <i/>
      <sz val="11"/>
      <name val="ＭＳ Ｐゴシック"/>
      <family val="3"/>
      <charset val="128"/>
    </font>
    <font>
      <b/>
      <i/>
      <sz val="11"/>
      <color theme="4"/>
      <name val="ＭＳ Ｐゴシック"/>
      <family val="3"/>
      <charset val="128"/>
      <scheme val="minor"/>
    </font>
    <font>
      <b/>
      <i/>
      <sz val="11"/>
      <color theme="4"/>
      <name val="ＭＳ Ｐゴシック"/>
      <family val="3"/>
      <charset val="128"/>
    </font>
    <font>
      <b/>
      <i/>
      <sz val="14"/>
      <color theme="4"/>
      <name val="ＭＳ 明朝"/>
      <family val="1"/>
      <charset val="128"/>
    </font>
    <font>
      <sz val="10"/>
      <color indexed="81"/>
      <name val="MS P ゴシック"/>
      <family val="3"/>
      <charset val="128"/>
    </font>
    <font>
      <sz val="14"/>
      <name val="ＭＳ Ｐゴシック"/>
      <family val="3"/>
      <charset val="128"/>
      <scheme val="minor"/>
    </font>
    <font>
      <b/>
      <i/>
      <sz val="14"/>
      <color rgb="FF0070C0"/>
      <name val="ＭＳ 明朝"/>
      <family val="1"/>
      <charset val="128"/>
    </font>
    <font>
      <b/>
      <sz val="20"/>
      <name val="ＭＳ 明朝"/>
      <family val="1"/>
      <charset val="128"/>
    </font>
    <font>
      <b/>
      <sz val="14"/>
      <name val="ＭＳ Ｐゴシック"/>
      <family val="3"/>
      <charset val="128"/>
      <scheme val="minor"/>
    </font>
    <font>
      <sz val="10"/>
      <name val="ＭＳ 明朝"/>
      <family val="1"/>
      <charset val="128"/>
    </font>
    <font>
      <b/>
      <sz val="11"/>
      <name val="ＭＳ 明朝"/>
      <family val="1"/>
      <charset val="128"/>
    </font>
    <font>
      <b/>
      <sz val="11"/>
      <color theme="4"/>
      <name val="ＭＳ Ｐゴシック"/>
      <family val="3"/>
      <charset val="128"/>
      <scheme val="minor"/>
    </font>
    <font>
      <sz val="11"/>
      <color theme="1"/>
      <name val="ＭＳ 明朝"/>
      <family val="1"/>
      <charset val="128"/>
    </font>
    <font>
      <sz val="10"/>
      <color rgb="FFFF0000"/>
      <name val="ＭＳ Ｐゴシック"/>
      <family val="3"/>
      <charset val="128"/>
    </font>
    <font>
      <sz val="11"/>
      <color rgb="FF000000"/>
      <name val="ＭＳ Ｐゴシック"/>
      <family val="3"/>
      <charset val="128"/>
    </font>
    <font>
      <sz val="11"/>
      <color rgb="FF000000"/>
      <name val="Calibri"/>
      <family val="2"/>
    </font>
    <font>
      <sz val="14"/>
      <color theme="1"/>
      <name val="ＭＳ Ｐゴシック"/>
      <family val="3"/>
      <charset val="128"/>
      <scheme val="minor"/>
    </font>
    <font>
      <b/>
      <sz val="12"/>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scheme val="major"/>
    </font>
    <font>
      <sz val="11"/>
      <name val="游ゴシック"/>
      <family val="3"/>
      <charset val="128"/>
    </font>
    <font>
      <sz val="11"/>
      <name val="Yu Gothic"/>
      <family val="3"/>
      <charset val="128"/>
    </font>
    <font>
      <b/>
      <sz val="14"/>
      <color rgb="FFFF0000"/>
      <name val="ＭＳ Ｐゴシック"/>
      <family val="3"/>
      <charset val="128"/>
      <scheme val="minor"/>
    </font>
    <font>
      <b/>
      <sz val="14"/>
      <color theme="1"/>
      <name val="ＭＳ Ｐゴシック"/>
      <family val="3"/>
      <charset val="128"/>
      <scheme val="minor"/>
    </font>
    <font>
      <b/>
      <sz val="9"/>
      <color indexed="10"/>
      <name val="ＭＳ Ｐゴシック"/>
      <family val="3"/>
      <charset val="128"/>
    </font>
    <font>
      <sz val="10"/>
      <name val="ＭＳ Ｐ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1A9E2"/>
        <bgColor indexed="64"/>
      </patternFill>
    </fill>
    <fill>
      <patternFill patternType="solid">
        <fgColor theme="5" tint="0.59999389629810485"/>
        <bgColor indexed="64"/>
      </patternFill>
    </fill>
    <fill>
      <patternFill patternType="solid">
        <fgColor rgb="FFE977D1"/>
        <bgColor indexed="64"/>
      </patternFill>
    </fill>
    <fill>
      <patternFill patternType="solid">
        <fgColor theme="2" tint="-9.9978637043366805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medium">
        <color indexed="64"/>
      </left>
      <right style="medium">
        <color indexed="64"/>
      </right>
      <top style="medium">
        <color indexed="64"/>
      </top>
      <bottom style="thin">
        <color theme="1"/>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5">
    <xf numFmtId="37" fontId="0" fillId="0" borderId="0"/>
    <xf numFmtId="0" fontId="12" fillId="0" borderId="0" applyFill="0" applyBorder="0" applyAlignment="0">
      <alignment vertical="center"/>
    </xf>
    <xf numFmtId="9" fontId="8" fillId="0" borderId="0" applyFont="0" applyFill="0" applyBorder="0" applyAlignment="0" applyProtection="0">
      <alignment vertical="center"/>
    </xf>
    <xf numFmtId="0" fontId="9" fillId="0" borderId="0" applyProtection="0">
      <alignment vertical="center"/>
    </xf>
    <xf numFmtId="38" fontId="11" fillId="0" borderId="0" applyFont="0" applyFill="0" applyBorder="0" applyAlignment="0" applyProtection="0">
      <alignment vertical="center"/>
    </xf>
    <xf numFmtId="38" fontId="5" fillId="0" borderId="0" applyProtection="0">
      <alignment vertical="center"/>
    </xf>
    <xf numFmtId="38" fontId="8" fillId="0" borderId="0" applyFont="0" applyFill="0" applyBorder="0" applyAlignment="0" applyProtection="0"/>
    <xf numFmtId="38" fontId="8" fillId="0" borderId="0" applyFont="0" applyFill="0" applyBorder="0" applyAlignment="0" applyProtection="0"/>
    <xf numFmtId="0" fontId="5" fillId="0" borderId="0">
      <alignment vertical="center"/>
    </xf>
    <xf numFmtId="0" fontId="8" fillId="0" borderId="0" applyProtection="0"/>
    <xf numFmtId="0" fontId="5" fillId="0" borderId="0" applyProtection="0"/>
    <xf numFmtId="0" fontId="8" fillId="0" borderId="0">
      <alignment vertical="center"/>
    </xf>
    <xf numFmtId="0" fontId="11" fillId="0" borderId="0">
      <alignment vertical="center"/>
    </xf>
    <xf numFmtId="0" fontId="11" fillId="0" borderId="0">
      <alignment vertical="center"/>
    </xf>
    <xf numFmtId="0" fontId="5" fillId="0" borderId="0">
      <alignment vertical="center"/>
    </xf>
    <xf numFmtId="0" fontId="2" fillId="0" borderId="0">
      <alignment vertical="center"/>
    </xf>
    <xf numFmtId="38" fontId="2" fillId="0" borderId="0" applyProtection="0">
      <alignment vertical="center"/>
    </xf>
    <xf numFmtId="38" fontId="21" fillId="0" borderId="0" applyFont="0" applyFill="0" applyBorder="0" applyAlignment="0" applyProtection="0">
      <alignment vertical="center"/>
    </xf>
    <xf numFmtId="0" fontId="8" fillId="0" borderId="0"/>
    <xf numFmtId="0" fontId="11" fillId="0" borderId="0">
      <alignment vertical="center"/>
    </xf>
    <xf numFmtId="0" fontId="1" fillId="0" borderId="0">
      <alignment vertical="center"/>
    </xf>
    <xf numFmtId="38" fontId="1" fillId="0" borderId="0" applyFont="0" applyFill="0" applyBorder="0" applyAlignment="0" applyProtection="0">
      <alignment vertical="center"/>
    </xf>
    <xf numFmtId="0" fontId="21" fillId="0" borderId="0"/>
    <xf numFmtId="9" fontId="21" fillId="0" borderId="0" applyFont="0" applyFill="0" applyBorder="0" applyAlignment="0" applyProtection="0">
      <alignment vertical="center"/>
    </xf>
    <xf numFmtId="37" fontId="46" fillId="0" borderId="0" applyNumberFormat="0" applyFill="0" applyBorder="0" applyAlignment="0" applyProtection="0"/>
  </cellStyleXfs>
  <cellXfs count="566">
    <xf numFmtId="37" fontId="0" fillId="0" borderId="0" xfId="0"/>
    <xf numFmtId="38" fontId="11" fillId="0" borderId="0" xfId="4" applyFont="1">
      <alignment vertical="center"/>
    </xf>
    <xf numFmtId="38" fontId="11" fillId="0" borderId="0" xfId="4" applyFont="1" applyAlignment="1"/>
    <xf numFmtId="38" fontId="11" fillId="0" borderId="1" xfId="4" applyFont="1" applyFill="1" applyBorder="1" applyAlignment="1">
      <alignment horizontal="center" wrapText="1"/>
    </xf>
    <xf numFmtId="38" fontId="11" fillId="0" borderId="1" xfId="4" applyFont="1" applyFill="1" applyBorder="1" applyAlignment="1">
      <alignment horizontal="center" vertical="center" wrapText="1"/>
    </xf>
    <xf numFmtId="38" fontId="11" fillId="0" borderId="0" xfId="4" applyFont="1" applyAlignment="1">
      <alignment vertical="center" wrapText="1"/>
    </xf>
    <xf numFmtId="38" fontId="11" fillId="0" borderId="1" xfId="4" applyFont="1" applyFill="1" applyBorder="1" applyAlignment="1">
      <alignment vertical="center" wrapText="1"/>
    </xf>
    <xf numFmtId="176" fontId="11" fillId="0" borderId="1" xfId="4" applyNumberFormat="1" applyFont="1" applyFill="1" applyBorder="1" applyAlignment="1">
      <alignment horizontal="center" vertical="center" wrapText="1"/>
    </xf>
    <xf numFmtId="38" fontId="11" fillId="4" borderId="1" xfId="4" applyFont="1" applyFill="1" applyBorder="1" applyAlignment="1">
      <alignment vertical="center" wrapText="1"/>
    </xf>
    <xf numFmtId="38" fontId="11" fillId="5" borderId="1" xfId="4" applyFont="1" applyFill="1" applyBorder="1" applyAlignment="1">
      <alignment vertical="center" wrapText="1"/>
    </xf>
    <xf numFmtId="38" fontId="16" fillId="0" borderId="1" xfId="4" applyFont="1" applyFill="1" applyBorder="1" applyAlignment="1">
      <alignment horizontal="center" vertical="center" wrapText="1"/>
    </xf>
    <xf numFmtId="38" fontId="11" fillId="0" borderId="0" xfId="4" applyFont="1" applyFill="1">
      <alignment vertical="center"/>
    </xf>
    <xf numFmtId="38" fontId="11" fillId="0" borderId="1" xfId="4" applyFont="1" applyFill="1" applyBorder="1" applyAlignment="1">
      <alignment horizontal="right" vertical="center" wrapText="1"/>
    </xf>
    <xf numFmtId="38" fontId="11" fillId="4" borderId="1" xfId="4" applyFont="1" applyFill="1" applyBorder="1" applyAlignment="1">
      <alignment horizontal="center" vertical="center" wrapText="1"/>
    </xf>
    <xf numFmtId="38" fontId="13" fillId="0" borderId="1" xfId="4" applyFont="1" applyFill="1" applyBorder="1" applyAlignment="1">
      <alignment vertical="center" wrapText="1"/>
    </xf>
    <xf numFmtId="177" fontId="11" fillId="0" borderId="1" xfId="4" applyNumberFormat="1" applyFont="1" applyFill="1" applyBorder="1" applyAlignment="1">
      <alignment horizontal="center" vertical="center" wrapText="1"/>
    </xf>
    <xf numFmtId="38" fontId="11" fillId="0" borderId="0" xfId="4" applyFont="1" applyFill="1" applyAlignment="1">
      <alignment vertical="center" wrapText="1"/>
    </xf>
    <xf numFmtId="38" fontId="18" fillId="0" borderId="1" xfId="4" applyFont="1" applyFill="1" applyBorder="1" applyAlignment="1">
      <alignment vertical="center" wrapText="1"/>
    </xf>
    <xf numFmtId="38" fontId="14" fillId="9" borderId="1" xfId="4" applyFont="1" applyFill="1" applyBorder="1" applyAlignment="1">
      <alignment vertical="center" wrapText="1"/>
    </xf>
    <xf numFmtId="38" fontId="14" fillId="9" borderId="1" xfId="4" applyFont="1" applyFill="1" applyBorder="1" applyAlignment="1">
      <alignment horizontal="center" vertical="center" wrapText="1"/>
    </xf>
    <xf numFmtId="38" fontId="14" fillId="0" borderId="0" xfId="4" applyFont="1" applyFill="1" applyBorder="1" applyAlignment="1">
      <alignment horizontal="center" vertical="center" wrapText="1"/>
    </xf>
    <xf numFmtId="38" fontId="15" fillId="0" borderId="0" xfId="4" applyFont="1" applyFill="1" applyBorder="1" applyAlignment="1">
      <alignment wrapText="1"/>
    </xf>
    <xf numFmtId="38" fontId="17" fillId="0" borderId="1" xfId="4" applyFont="1" applyFill="1" applyBorder="1" applyAlignment="1">
      <alignment horizontal="center" wrapText="1"/>
    </xf>
    <xf numFmtId="38" fontId="11" fillId="0" borderId="1" xfId="4" applyFont="1" applyFill="1" applyBorder="1" applyAlignment="1">
      <alignment wrapText="1"/>
    </xf>
    <xf numFmtId="38" fontId="11" fillId="0" borderId="0" xfId="4" applyFont="1" applyFill="1" applyAlignment="1"/>
    <xf numFmtId="38" fontId="11" fillId="0" borderId="0" xfId="4" applyFont="1" applyFill="1" applyBorder="1">
      <alignment vertical="center"/>
    </xf>
    <xf numFmtId="38" fontId="11" fillId="0" borderId="1" xfId="4" applyFont="1" applyBorder="1" applyAlignment="1">
      <alignment vertical="center" shrinkToFit="1"/>
    </xf>
    <xf numFmtId="38" fontId="11" fillId="0" borderId="1" xfId="4" applyFont="1" applyFill="1" applyBorder="1">
      <alignment vertical="center"/>
    </xf>
    <xf numFmtId="38" fontId="11" fillId="0" borderId="1" xfId="4" applyFont="1" applyBorder="1">
      <alignment vertical="center"/>
    </xf>
    <xf numFmtId="0" fontId="11" fillId="0" borderId="0" xfId="13">
      <alignment vertical="center"/>
    </xf>
    <xf numFmtId="0" fontId="19" fillId="0" borderId="0" xfId="12" applyFont="1">
      <alignment vertical="center"/>
    </xf>
    <xf numFmtId="0" fontId="11" fillId="0" borderId="0" xfId="12" applyAlignment="1">
      <alignment vertical="center" wrapText="1"/>
    </xf>
    <xf numFmtId="0" fontId="11" fillId="0" borderId="0" xfId="12">
      <alignment vertical="center"/>
    </xf>
    <xf numFmtId="38" fontId="11" fillId="0" borderId="0" xfId="6" applyFont="1" applyAlignment="1">
      <alignment vertical="center"/>
    </xf>
    <xf numFmtId="0" fontId="11" fillId="0" borderId="0" xfId="12" applyAlignment="1">
      <alignment horizontal="center" vertical="center"/>
    </xf>
    <xf numFmtId="38" fontId="11" fillId="0" borderId="1" xfId="17" applyFont="1" applyFill="1" applyBorder="1" applyAlignment="1">
      <alignment vertical="center" wrapText="1"/>
    </xf>
    <xf numFmtId="0" fontId="11" fillId="4" borderId="1" xfId="12" applyFill="1" applyBorder="1">
      <alignment vertical="center"/>
    </xf>
    <xf numFmtId="0" fontId="8" fillId="0" borderId="0" xfId="18"/>
    <xf numFmtId="38" fontId="11" fillId="4" borderId="1" xfId="4" applyFont="1" applyFill="1" applyBorder="1" applyAlignment="1">
      <alignment vertical="center"/>
    </xf>
    <xf numFmtId="38" fontId="11" fillId="5" borderId="1" xfId="4" applyFont="1" applyFill="1" applyBorder="1" applyAlignment="1">
      <alignment horizontal="center" vertical="center" wrapText="1"/>
    </xf>
    <xf numFmtId="179" fontId="11" fillId="4" borderId="1" xfId="4" applyNumberFormat="1" applyFont="1" applyFill="1" applyBorder="1" applyAlignment="1">
      <alignment horizontal="center" vertical="center" wrapText="1"/>
    </xf>
    <xf numFmtId="38" fontId="11" fillId="9" borderId="1" xfId="4" applyFont="1" applyFill="1" applyBorder="1" applyAlignment="1">
      <alignment horizontal="center" vertical="center" wrapText="1"/>
    </xf>
    <xf numFmtId="38" fontId="11" fillId="0" borderId="1" xfId="4" applyFont="1" applyFill="1" applyBorder="1" applyAlignment="1">
      <alignment vertical="center"/>
    </xf>
    <xf numFmtId="0" fontId="8" fillId="4" borderId="1" xfId="18" applyFill="1" applyBorder="1"/>
    <xf numFmtId="38" fontId="11" fillId="0" borderId="0" xfId="6" applyFont="1" applyFill="1" applyAlignment="1">
      <alignment vertical="center"/>
    </xf>
    <xf numFmtId="40" fontId="11" fillId="4" borderId="1" xfId="4" applyNumberFormat="1" applyFont="1" applyFill="1" applyBorder="1" applyAlignment="1">
      <alignment horizontal="center" vertical="center" wrapText="1"/>
    </xf>
    <xf numFmtId="38" fontId="11" fillId="6" borderId="1" xfId="4" applyFont="1" applyFill="1" applyBorder="1" applyAlignment="1">
      <alignment horizontal="center" wrapText="1"/>
    </xf>
    <xf numFmtId="38" fontId="14" fillId="5" borderId="0" xfId="4" applyFont="1" applyFill="1" applyBorder="1" applyAlignment="1">
      <alignment vertical="center" wrapText="1"/>
    </xf>
    <xf numFmtId="38" fontId="14" fillId="5" borderId="0" xfId="4" applyFont="1" applyFill="1" applyBorder="1" applyAlignment="1">
      <alignment horizontal="center" vertical="center" wrapText="1"/>
    </xf>
    <xf numFmtId="38" fontId="11" fillId="5" borderId="0" xfId="4" applyFont="1" applyFill="1">
      <alignment vertical="center"/>
    </xf>
    <xf numFmtId="38" fontId="11" fillId="5" borderId="0" xfId="4" applyFont="1" applyFill="1" applyBorder="1" applyAlignment="1">
      <alignment vertical="center" wrapText="1"/>
    </xf>
    <xf numFmtId="38" fontId="11" fillId="5" borderId="0" xfId="4" applyFont="1" applyFill="1" applyBorder="1" applyAlignment="1">
      <alignment horizontal="center" vertical="center" wrapText="1"/>
    </xf>
    <xf numFmtId="38" fontId="14" fillId="5" borderId="0" xfId="4" applyFont="1" applyFill="1" applyBorder="1" applyAlignment="1">
      <alignment horizontal="right" vertical="center" wrapText="1"/>
    </xf>
    <xf numFmtId="38" fontId="11" fillId="5" borderId="0" xfId="4" applyFont="1" applyFill="1" applyBorder="1">
      <alignment vertical="center"/>
    </xf>
    <xf numFmtId="0" fontId="20" fillId="5" borderId="0" xfId="13" applyFont="1" applyFill="1" applyAlignment="1">
      <alignment horizontal="center" vertical="center" wrapText="1"/>
    </xf>
    <xf numFmtId="38" fontId="24" fillId="5" borderId="0" xfId="4" applyFont="1" applyFill="1" applyBorder="1" applyAlignment="1">
      <alignment vertical="center"/>
    </xf>
    <xf numFmtId="38" fontId="14" fillId="0" borderId="0" xfId="4" applyFont="1" applyFill="1">
      <alignment vertical="center"/>
    </xf>
    <xf numFmtId="38" fontId="22" fillId="0" borderId="0" xfId="4" applyFont="1" applyFill="1">
      <alignment vertical="center"/>
    </xf>
    <xf numFmtId="38" fontId="25" fillId="7" borderId="1" xfId="4" applyFont="1" applyFill="1" applyBorder="1" applyAlignment="1">
      <alignment vertical="center" wrapText="1"/>
    </xf>
    <xf numFmtId="176" fontId="25" fillId="7" borderId="1" xfId="4" applyNumberFormat="1" applyFont="1" applyFill="1" applyBorder="1" applyAlignment="1">
      <alignment horizontal="center" vertical="center" wrapText="1"/>
    </xf>
    <xf numFmtId="176" fontId="25" fillId="7" borderId="1" xfId="4" applyNumberFormat="1" applyFont="1" applyFill="1" applyBorder="1" applyAlignment="1">
      <alignment vertical="center" wrapText="1"/>
    </xf>
    <xf numFmtId="38" fontId="25" fillId="0" borderId="0" xfId="4" applyFont="1" applyFill="1">
      <alignment vertical="center"/>
    </xf>
    <xf numFmtId="38" fontId="22" fillId="0" borderId="0" xfId="4" applyFont="1" applyFill="1" applyBorder="1" applyAlignment="1">
      <alignment vertical="center" wrapText="1"/>
    </xf>
    <xf numFmtId="176" fontId="22" fillId="0" borderId="0" xfId="4" applyNumberFormat="1" applyFont="1" applyFill="1" applyBorder="1" applyAlignment="1">
      <alignment vertical="center" wrapText="1"/>
    </xf>
    <xf numFmtId="38" fontId="22" fillId="0" borderId="0" xfId="4" applyFont="1" applyFill="1" applyBorder="1">
      <alignment vertical="center"/>
    </xf>
    <xf numFmtId="38" fontId="26" fillId="0" borderId="0" xfId="4" applyFont="1" applyFill="1" applyBorder="1" applyAlignment="1">
      <alignment vertical="center" wrapText="1"/>
    </xf>
    <xf numFmtId="38" fontId="26" fillId="0" borderId="0" xfId="4" applyFont="1" applyFill="1" applyBorder="1" applyAlignment="1">
      <alignment vertical="center"/>
    </xf>
    <xf numFmtId="0" fontId="11" fillId="0" borderId="0" xfId="13" applyAlignment="1">
      <alignment horizontal="right" vertical="center"/>
    </xf>
    <xf numFmtId="38" fontId="11" fillId="0" borderId="0" xfId="4" applyFont="1" applyFill="1" applyBorder="1" applyAlignment="1">
      <alignment horizontal="center" vertical="center"/>
    </xf>
    <xf numFmtId="0" fontId="11" fillId="0" borderId="0" xfId="13" applyAlignment="1">
      <alignment vertical="center" shrinkToFit="1"/>
    </xf>
    <xf numFmtId="176" fontId="11" fillId="0" borderId="0" xfId="4" applyNumberFormat="1" applyFont="1" applyFill="1" applyBorder="1">
      <alignment vertical="center"/>
    </xf>
    <xf numFmtId="38" fontId="14" fillId="8" borderId="1" xfId="4" applyFont="1" applyFill="1" applyBorder="1" applyAlignment="1">
      <alignment vertical="center" wrapText="1"/>
    </xf>
    <xf numFmtId="38" fontId="14" fillId="0" borderId="0" xfId="4" applyFont="1">
      <alignment vertical="center"/>
    </xf>
    <xf numFmtId="38" fontId="14" fillId="10" borderId="1" xfId="4" applyFont="1" applyFill="1" applyBorder="1" applyAlignment="1">
      <alignment vertical="center" wrapText="1"/>
    </xf>
    <xf numFmtId="38" fontId="14" fillId="10" borderId="1" xfId="4" applyFont="1" applyFill="1" applyBorder="1" applyAlignment="1">
      <alignment horizontal="center" vertical="center" wrapText="1"/>
    </xf>
    <xf numFmtId="38" fontId="17" fillId="4" borderId="1" xfId="4" applyFont="1" applyFill="1" applyBorder="1" applyAlignment="1">
      <alignment horizontal="right" vertical="center"/>
    </xf>
    <xf numFmtId="177" fontId="22" fillId="0" borderId="0" xfId="4" applyNumberFormat="1" applyFont="1" applyFill="1">
      <alignment vertical="center"/>
    </xf>
    <xf numFmtId="0" fontId="8" fillId="0" borderId="0" xfId="18" applyAlignment="1">
      <alignment vertical="center"/>
    </xf>
    <xf numFmtId="38" fontId="0" fillId="0" borderId="0" xfId="6" applyFont="1" applyAlignment="1">
      <alignment vertical="center"/>
    </xf>
    <xf numFmtId="38" fontId="8" fillId="0" borderId="0" xfId="18" applyNumberFormat="1" applyAlignment="1">
      <alignment vertical="center"/>
    </xf>
    <xf numFmtId="0" fontId="8" fillId="2" borderId="0" xfId="18" applyFill="1" applyAlignment="1">
      <alignment vertical="center"/>
    </xf>
    <xf numFmtId="0" fontId="8" fillId="2" borderId="1" xfId="18" applyFill="1" applyBorder="1" applyAlignment="1">
      <alignment vertical="center"/>
    </xf>
    <xf numFmtId="38" fontId="8" fillId="2" borderId="1" xfId="6" applyFont="1" applyFill="1" applyBorder="1" applyAlignment="1">
      <alignment vertical="center"/>
    </xf>
    <xf numFmtId="38" fontId="8" fillId="2" borderId="1" xfId="18" applyNumberFormat="1" applyFill="1" applyBorder="1" applyAlignment="1">
      <alignment vertical="center"/>
    </xf>
    <xf numFmtId="0" fontId="8" fillId="0" borderId="1" xfId="18" applyBorder="1" applyAlignment="1">
      <alignment vertical="center"/>
    </xf>
    <xf numFmtId="38" fontId="0" fillId="0" borderId="1" xfId="6" applyFont="1" applyFill="1" applyBorder="1" applyAlignment="1">
      <alignment vertical="center"/>
    </xf>
    <xf numFmtId="38" fontId="8" fillId="0" borderId="1" xfId="18" applyNumberFormat="1" applyBorder="1" applyAlignment="1">
      <alignment vertical="center"/>
    </xf>
    <xf numFmtId="38" fontId="0" fillId="0" borderId="1" xfId="6" applyFont="1" applyBorder="1" applyAlignment="1">
      <alignment vertical="center"/>
    </xf>
    <xf numFmtId="0" fontId="18" fillId="0" borderId="0" xfId="12" applyFont="1">
      <alignment vertical="center"/>
    </xf>
    <xf numFmtId="38" fontId="18" fillId="0" borderId="0" xfId="6" applyFont="1" applyAlignment="1">
      <alignment vertical="center"/>
    </xf>
    <xf numFmtId="0" fontId="18" fillId="0" borderId="0" xfId="12" applyFont="1" applyAlignment="1">
      <alignment horizontal="center" vertical="center"/>
    </xf>
    <xf numFmtId="0" fontId="18" fillId="2" borderId="1" xfId="12" applyFont="1" applyFill="1" applyBorder="1" applyAlignment="1">
      <alignment horizontal="center" vertical="center"/>
    </xf>
    <xf numFmtId="38" fontId="18" fillId="0" borderId="0" xfId="6" applyFont="1" applyFill="1" applyBorder="1" applyAlignment="1">
      <alignment vertical="center"/>
    </xf>
    <xf numFmtId="0" fontId="18" fillId="4" borderId="1" xfId="12" applyFont="1" applyFill="1" applyBorder="1">
      <alignment vertical="center"/>
    </xf>
    <xf numFmtId="38" fontId="18" fillId="4" borderId="1" xfId="6" applyFont="1" applyFill="1" applyBorder="1" applyAlignment="1">
      <alignment vertical="center"/>
    </xf>
    <xf numFmtId="38" fontId="18" fillId="4" borderId="1" xfId="6" applyFont="1" applyFill="1" applyBorder="1" applyAlignment="1">
      <alignment horizontal="right" vertical="center"/>
    </xf>
    <xf numFmtId="38" fontId="18" fillId="0" borderId="0" xfId="6" applyFont="1" applyBorder="1" applyAlignment="1">
      <alignment vertical="center"/>
    </xf>
    <xf numFmtId="38" fontId="18" fillId="0" borderId="1" xfId="6" applyFont="1" applyBorder="1" applyAlignment="1">
      <alignment vertical="center"/>
    </xf>
    <xf numFmtId="38" fontId="18" fillId="6" borderId="0" xfId="6" applyFont="1" applyFill="1" applyAlignment="1">
      <alignment vertical="center"/>
    </xf>
    <xf numFmtId="38" fontId="0" fillId="0" borderId="0" xfId="6" applyFont="1"/>
    <xf numFmtId="38" fontId="8" fillId="4" borderId="1" xfId="6" applyFont="1" applyFill="1" applyBorder="1"/>
    <xf numFmtId="40" fontId="11" fillId="0" borderId="0" xfId="6" applyNumberFormat="1" applyFont="1" applyFill="1" applyAlignment="1">
      <alignment vertical="center"/>
    </xf>
    <xf numFmtId="38" fontId="11" fillId="0" borderId="0" xfId="6" applyFont="1" applyFill="1" applyAlignment="1">
      <alignment horizontal="center" vertical="center"/>
    </xf>
    <xf numFmtId="38" fontId="17" fillId="0" borderId="0" xfId="6" applyFont="1" applyBorder="1" applyAlignment="1">
      <alignment vertical="center"/>
    </xf>
    <xf numFmtId="38" fontId="11" fillId="11" borderId="1" xfId="4" applyFont="1" applyFill="1" applyBorder="1" applyAlignment="1">
      <alignment vertical="center" wrapText="1"/>
    </xf>
    <xf numFmtId="38" fontId="11" fillId="0" borderId="0" xfId="4" applyFont="1" applyFill="1" applyAlignment="1">
      <alignment wrapText="1"/>
    </xf>
    <xf numFmtId="38" fontId="11" fillId="0" borderId="0" xfId="4" applyFont="1" applyFill="1" applyBorder="1" applyAlignment="1">
      <alignment horizontal="center" wrapText="1"/>
    </xf>
    <xf numFmtId="38" fontId="11" fillId="0" borderId="12" xfId="4" applyFont="1" applyFill="1" applyBorder="1" applyAlignment="1">
      <alignment horizontal="center" vertical="center" wrapText="1"/>
    </xf>
    <xf numFmtId="0" fontId="18" fillId="2" borderId="1" xfId="12" applyFont="1" applyFill="1" applyBorder="1" applyAlignment="1">
      <alignment horizontal="center" vertical="center" wrapText="1"/>
    </xf>
    <xf numFmtId="0" fontId="31" fillId="0" borderId="1" xfId="12" applyFont="1" applyBorder="1">
      <alignment vertical="center"/>
    </xf>
    <xf numFmtId="179" fontId="22" fillId="4" borderId="1" xfId="4" applyNumberFormat="1" applyFont="1" applyFill="1" applyBorder="1" applyAlignment="1">
      <alignment horizontal="center" vertical="center" wrapText="1"/>
    </xf>
    <xf numFmtId="176" fontId="34" fillId="0" borderId="1" xfId="4" applyNumberFormat="1" applyFont="1" applyFill="1" applyBorder="1" applyAlignment="1">
      <alignment horizontal="left" vertical="center"/>
    </xf>
    <xf numFmtId="38" fontId="11" fillId="4" borderId="2" xfId="4" applyFont="1" applyFill="1" applyBorder="1" applyAlignment="1">
      <alignment horizontal="center" vertical="center" wrapText="1"/>
    </xf>
    <xf numFmtId="38" fontId="8" fillId="0" borderId="1" xfId="6" applyFont="1" applyFill="1" applyBorder="1"/>
    <xf numFmtId="0" fontId="35" fillId="0" borderId="0" xfId="18" applyFont="1"/>
    <xf numFmtId="0" fontId="35" fillId="0" borderId="0" xfId="18" applyFont="1" applyAlignment="1">
      <alignment vertical="center"/>
    </xf>
    <xf numFmtId="0" fontId="21" fillId="0" borderId="0" xfId="22" applyAlignment="1">
      <alignment horizontal="left"/>
    </xf>
    <xf numFmtId="0" fontId="21" fillId="0" borderId="0" xfId="22"/>
    <xf numFmtId="0" fontId="21" fillId="0" borderId="11" xfId="22" applyBorder="1"/>
    <xf numFmtId="0" fontId="21" fillId="0" borderId="1" xfId="22" applyBorder="1" applyAlignment="1">
      <alignment horizontal="left"/>
    </xf>
    <xf numFmtId="0" fontId="21" fillId="0" borderId="9" xfId="22" applyBorder="1"/>
    <xf numFmtId="37" fontId="21" fillId="0" borderId="0" xfId="22" applyNumberFormat="1"/>
    <xf numFmtId="37" fontId="21" fillId="0" borderId="2" xfId="22" applyNumberFormat="1" applyBorder="1" applyAlignment="1">
      <alignment horizontal="left"/>
    </xf>
    <xf numFmtId="37" fontId="21" fillId="0" borderId="10" xfId="22" applyNumberFormat="1" applyBorder="1" applyAlignment="1">
      <alignment horizontal="left"/>
    </xf>
    <xf numFmtId="37" fontId="21" fillId="0" borderId="1" xfId="22" applyNumberFormat="1" applyBorder="1" applyAlignment="1">
      <alignment horizontal="left"/>
    </xf>
    <xf numFmtId="37" fontId="21" fillId="0" borderId="9" xfId="22" applyNumberFormat="1" applyBorder="1" applyAlignment="1">
      <alignment horizontal="left"/>
    </xf>
    <xf numFmtId="0" fontId="21" fillId="0" borderId="9" xfId="22" applyBorder="1" applyAlignment="1">
      <alignment horizontal="left"/>
    </xf>
    <xf numFmtId="0" fontId="21" fillId="0" borderId="1" xfId="22" applyBorder="1"/>
    <xf numFmtId="0" fontId="21" fillId="0" borderId="7" xfId="22" applyBorder="1"/>
    <xf numFmtId="0" fontId="21" fillId="0" borderId="4" xfId="22" applyBorder="1"/>
    <xf numFmtId="37" fontId="21" fillId="0" borderId="15" xfId="22" applyNumberFormat="1" applyBorder="1"/>
    <xf numFmtId="37" fontId="21" fillId="0" borderId="9" xfId="22" applyNumberFormat="1" applyBorder="1"/>
    <xf numFmtId="37" fontId="21" fillId="0" borderId="6" xfId="22" applyNumberFormat="1" applyBorder="1"/>
    <xf numFmtId="37" fontId="21" fillId="0" borderId="10" xfId="22" applyNumberFormat="1" applyBorder="1"/>
    <xf numFmtId="0" fontId="21" fillId="0" borderId="10" xfId="22" applyBorder="1"/>
    <xf numFmtId="0" fontId="37" fillId="5" borderId="0" xfId="18" applyFont="1" applyFill="1" applyAlignment="1">
      <alignment vertical="top"/>
    </xf>
    <xf numFmtId="0" fontId="8" fillId="5" borderId="0" xfId="18" applyFill="1"/>
    <xf numFmtId="38" fontId="8" fillId="5" borderId="0" xfId="17" applyFont="1" applyFill="1" applyAlignment="1"/>
    <xf numFmtId="0" fontId="38" fillId="5" borderId="0" xfId="18" applyFont="1" applyFill="1"/>
    <xf numFmtId="0" fontId="39" fillId="5" borderId="0" xfId="18" applyFont="1" applyFill="1"/>
    <xf numFmtId="0" fontId="29" fillId="5" borderId="0" xfId="18" applyFont="1" applyFill="1"/>
    <xf numFmtId="0" fontId="29" fillId="5" borderId="1" xfId="18" applyFont="1" applyFill="1" applyBorder="1" applyAlignment="1">
      <alignment horizontal="center"/>
    </xf>
    <xf numFmtId="38" fontId="29" fillId="5" borderId="0" xfId="17" applyFont="1" applyFill="1" applyAlignment="1"/>
    <xf numFmtId="0" fontId="8" fillId="5" borderId="1" xfId="18" applyFill="1" applyBorder="1"/>
    <xf numFmtId="38" fontId="8" fillId="5" borderId="1" xfId="17" applyFont="1" applyFill="1" applyBorder="1" applyAlignment="1"/>
    <xf numFmtId="40" fontId="23" fillId="5" borderId="1" xfId="18" applyNumberFormat="1" applyFont="1" applyFill="1" applyBorder="1"/>
    <xf numFmtId="40" fontId="8" fillId="5" borderId="1" xfId="18" applyNumberFormat="1" applyFill="1" applyBorder="1"/>
    <xf numFmtId="38" fontId="23" fillId="5" borderId="1" xfId="17" applyFont="1" applyFill="1" applyBorder="1" applyAlignment="1"/>
    <xf numFmtId="0" fontId="8" fillId="5" borderId="1" xfId="18" applyFill="1" applyBorder="1" applyAlignment="1">
      <alignment horizontal="right"/>
    </xf>
    <xf numFmtId="0" fontId="23" fillId="5" borderId="1" xfId="18" applyFont="1" applyFill="1" applyBorder="1"/>
    <xf numFmtId="178" fontId="8" fillId="5" borderId="1" xfId="18" applyNumberFormat="1" applyFill="1" applyBorder="1"/>
    <xf numFmtId="38" fontId="8" fillId="5" borderId="0" xfId="17" applyFont="1" applyFill="1" applyBorder="1" applyAlignment="1"/>
    <xf numFmtId="38" fontId="8" fillId="5" borderId="1" xfId="18" applyNumberFormat="1" applyFill="1" applyBorder="1"/>
    <xf numFmtId="40" fontId="23" fillId="5" borderId="0" xfId="18" applyNumberFormat="1" applyFont="1" applyFill="1"/>
    <xf numFmtId="178" fontId="8" fillId="5" borderId="0" xfId="18" applyNumberFormat="1" applyFill="1"/>
    <xf numFmtId="0" fontId="41" fillId="5" borderId="0" xfId="18" applyFont="1" applyFill="1"/>
    <xf numFmtId="38" fontId="40" fillId="5" borderId="1" xfId="18" applyNumberFormat="1" applyFont="1" applyFill="1" applyBorder="1"/>
    <xf numFmtId="38" fontId="8" fillId="5" borderId="0" xfId="18" applyNumberFormat="1" applyFill="1"/>
    <xf numFmtId="38" fontId="10" fillId="5" borderId="1" xfId="17" applyFont="1" applyFill="1" applyBorder="1" applyAlignment="1"/>
    <xf numFmtId="0" fontId="32" fillId="5" borderId="0" xfId="18" applyFont="1" applyFill="1"/>
    <xf numFmtId="38" fontId="32" fillId="5" borderId="0" xfId="17" applyFont="1" applyFill="1" applyAlignment="1"/>
    <xf numFmtId="0" fontId="23" fillId="5" borderId="0" xfId="18" applyFont="1" applyFill="1"/>
    <xf numFmtId="0" fontId="33" fillId="5" borderId="0" xfId="18" applyFont="1" applyFill="1"/>
    <xf numFmtId="38" fontId="4" fillId="0" borderId="1" xfId="6" applyFont="1" applyBorder="1" applyAlignment="1">
      <alignment vertical="center"/>
    </xf>
    <xf numFmtId="0" fontId="23" fillId="4" borderId="1" xfId="18" applyFont="1" applyFill="1" applyBorder="1"/>
    <xf numFmtId="40" fontId="23" fillId="4" borderId="1" xfId="18" applyNumberFormat="1" applyFont="1" applyFill="1" applyBorder="1"/>
    <xf numFmtId="1" fontId="23" fillId="4" borderId="1" xfId="18" applyNumberFormat="1" applyFont="1" applyFill="1" applyBorder="1"/>
    <xf numFmtId="38" fontId="21" fillId="0" borderId="0" xfId="17" applyAlignment="1"/>
    <xf numFmtId="37" fontId="21" fillId="0" borderId="1" xfId="22" applyNumberFormat="1" applyBorder="1"/>
    <xf numFmtId="0" fontId="43" fillId="0" borderId="0" xfId="22" applyFont="1"/>
    <xf numFmtId="0" fontId="21" fillId="2" borderId="1" xfId="22" applyFill="1" applyBorder="1"/>
    <xf numFmtId="37" fontId="21" fillId="2" borderId="1" xfId="22" applyNumberFormat="1" applyFill="1" applyBorder="1"/>
    <xf numFmtId="0" fontId="44" fillId="0" borderId="0" xfId="22" applyFont="1"/>
    <xf numFmtId="38" fontId="18" fillId="0" borderId="1" xfId="6" applyFont="1" applyFill="1" applyBorder="1" applyAlignment="1">
      <alignment vertical="center"/>
    </xf>
    <xf numFmtId="38" fontId="11" fillId="4" borderId="1" xfId="6" applyFont="1" applyFill="1" applyBorder="1" applyAlignment="1">
      <alignment vertical="center"/>
    </xf>
    <xf numFmtId="38" fontId="11" fillId="4" borderId="1" xfId="6" applyFont="1" applyFill="1" applyBorder="1" applyAlignment="1">
      <alignment horizontal="right" vertical="center"/>
    </xf>
    <xf numFmtId="38" fontId="11" fillId="0" borderId="1" xfId="6" applyFont="1" applyFill="1" applyBorder="1" applyAlignment="1">
      <alignment vertical="center"/>
    </xf>
    <xf numFmtId="181" fontId="22" fillId="0" borderId="0" xfId="23" applyNumberFormat="1" applyFont="1" applyFill="1" applyBorder="1" applyAlignment="1">
      <alignment vertical="center" wrapText="1"/>
    </xf>
    <xf numFmtId="38" fontId="22" fillId="0" borderId="0" xfId="4" applyFont="1" applyFill="1" applyBorder="1" applyAlignment="1">
      <alignment vertical="center"/>
    </xf>
    <xf numFmtId="176" fontId="22" fillId="0" borderId="0" xfId="4" applyNumberFormat="1" applyFont="1" applyFill="1" applyBorder="1" applyAlignment="1">
      <alignment horizontal="center" vertical="center" wrapText="1"/>
    </xf>
    <xf numFmtId="0" fontId="16" fillId="0" borderId="0" xfId="12" applyFont="1">
      <alignment vertical="center"/>
    </xf>
    <xf numFmtId="38" fontId="18" fillId="0" borderId="0" xfId="12" applyNumberFormat="1" applyFont="1">
      <alignment vertical="center"/>
    </xf>
    <xf numFmtId="40" fontId="18" fillId="0" borderId="0" xfId="17" applyNumberFormat="1" applyFont="1" applyBorder="1">
      <alignment vertical="center"/>
    </xf>
    <xf numFmtId="38" fontId="16" fillId="0" borderId="0" xfId="17" applyFont="1" applyBorder="1">
      <alignment vertical="center"/>
    </xf>
    <xf numFmtId="38" fontId="18" fillId="6" borderId="1" xfId="6" applyFont="1" applyFill="1" applyBorder="1" applyAlignment="1">
      <alignment vertical="center"/>
    </xf>
    <xf numFmtId="182" fontId="11" fillId="0" borderId="0" xfId="4" applyNumberFormat="1" applyFont="1" applyFill="1">
      <alignment vertical="center"/>
    </xf>
    <xf numFmtId="38" fontId="11" fillId="4" borderId="1" xfId="17" applyFont="1" applyFill="1" applyBorder="1" applyAlignment="1">
      <alignment vertical="center" wrapText="1"/>
    </xf>
    <xf numFmtId="0" fontId="4" fillId="0" borderId="1" xfId="22" applyFont="1" applyBorder="1"/>
    <xf numFmtId="38" fontId="21" fillId="0" borderId="1" xfId="17" applyBorder="1" applyAlignment="1"/>
    <xf numFmtId="0" fontId="8" fillId="2" borderId="12" xfId="18" applyFill="1" applyBorder="1" applyAlignment="1">
      <alignment vertical="center"/>
    </xf>
    <xf numFmtId="0" fontId="8" fillId="2" borderId="16" xfId="18" applyFill="1" applyBorder="1" applyAlignment="1">
      <alignment vertical="center"/>
    </xf>
    <xf numFmtId="0" fontId="8" fillId="2" borderId="9" xfId="18" applyFill="1" applyBorder="1" applyAlignment="1">
      <alignment vertical="center"/>
    </xf>
    <xf numFmtId="0" fontId="8" fillId="2" borderId="11" xfId="18" applyFill="1" applyBorder="1" applyAlignment="1">
      <alignment vertical="center"/>
    </xf>
    <xf numFmtId="0" fontId="8" fillId="0" borderId="12" xfId="18" applyBorder="1" applyAlignment="1">
      <alignment vertical="center"/>
    </xf>
    <xf numFmtId="0" fontId="8" fillId="0" borderId="16" xfId="18" applyBorder="1" applyAlignment="1">
      <alignment vertical="center"/>
    </xf>
    <xf numFmtId="0" fontId="8" fillId="0" borderId="17" xfId="18" applyBorder="1" applyAlignment="1">
      <alignment vertical="center"/>
    </xf>
    <xf numFmtId="0" fontId="8" fillId="0" borderId="9" xfId="18" applyBorder="1" applyAlignment="1">
      <alignment vertical="center"/>
    </xf>
    <xf numFmtId="0" fontId="8" fillId="0" borderId="11" xfId="18" applyBorder="1" applyAlignment="1">
      <alignment vertical="center"/>
    </xf>
    <xf numFmtId="38" fontId="10" fillId="4" borderId="1" xfId="6" applyFont="1" applyFill="1" applyBorder="1"/>
    <xf numFmtId="38" fontId="11" fillId="0" borderId="1" xfId="6" applyFont="1" applyBorder="1" applyAlignment="1">
      <alignment horizontal="center" vertical="center"/>
    </xf>
    <xf numFmtId="38" fontId="16" fillId="0" borderId="1" xfId="6" applyFont="1" applyBorder="1" applyAlignment="1">
      <alignment vertical="center"/>
    </xf>
    <xf numFmtId="0" fontId="11" fillId="4" borderId="1" xfId="12" applyFill="1" applyBorder="1" applyAlignment="1">
      <alignment horizontal="center" vertical="center"/>
    </xf>
    <xf numFmtId="0" fontId="11" fillId="4" borderId="1" xfId="12" applyFill="1" applyBorder="1" applyAlignment="1">
      <alignment vertical="center" wrapText="1"/>
    </xf>
    <xf numFmtId="38" fontId="11" fillId="3" borderId="1" xfId="6" applyFont="1" applyFill="1" applyBorder="1" applyAlignment="1">
      <alignment horizontal="center" vertical="center"/>
    </xf>
    <xf numFmtId="0" fontId="11" fillId="3" borderId="1" xfId="12" applyFill="1" applyBorder="1" applyAlignment="1">
      <alignment horizontal="center" vertical="center"/>
    </xf>
    <xf numFmtId="176" fontId="11" fillId="7" borderId="2" xfId="6" applyNumberFormat="1" applyFont="1" applyFill="1" applyBorder="1" applyAlignment="1">
      <alignment vertical="center"/>
    </xf>
    <xf numFmtId="0" fontId="13" fillId="0" borderId="0" xfId="12" applyFont="1">
      <alignment vertical="center"/>
    </xf>
    <xf numFmtId="0" fontId="8" fillId="2" borderId="2" xfId="18" applyFill="1" applyBorder="1" applyAlignment="1">
      <alignment vertical="center"/>
    </xf>
    <xf numFmtId="0" fontId="8" fillId="0" borderId="18" xfId="18" applyBorder="1" applyAlignment="1">
      <alignment vertical="center"/>
    </xf>
    <xf numFmtId="38" fontId="33" fillId="4" borderId="1" xfId="6" applyFont="1" applyFill="1" applyBorder="1"/>
    <xf numFmtId="38" fontId="11" fillId="0" borderId="1" xfId="4" applyFont="1" applyFill="1" applyBorder="1" applyAlignment="1">
      <alignment horizontal="left" vertical="center"/>
    </xf>
    <xf numFmtId="38" fontId="11" fillId="0" borderId="1" xfId="17" applyFont="1" applyFill="1" applyBorder="1" applyAlignment="1">
      <alignment horizontal="right" vertical="center" wrapText="1"/>
    </xf>
    <xf numFmtId="38" fontId="11" fillId="5" borderId="0" xfId="4" applyFont="1" applyFill="1" applyAlignment="1">
      <alignment horizontal="center" vertical="center"/>
    </xf>
    <xf numFmtId="38" fontId="11" fillId="5" borderId="4" xfId="4" applyFont="1" applyFill="1" applyBorder="1" applyAlignment="1">
      <alignment horizontal="right" vertical="center" wrapText="1"/>
    </xf>
    <xf numFmtId="38" fontId="14" fillId="5" borderId="1" xfId="4" applyFont="1" applyFill="1" applyBorder="1" applyAlignment="1">
      <alignment vertical="center" wrapText="1"/>
    </xf>
    <xf numFmtId="38" fontId="25" fillId="5" borderId="1" xfId="4" applyFont="1" applyFill="1" applyBorder="1" applyAlignment="1">
      <alignment vertical="center" wrapText="1"/>
    </xf>
    <xf numFmtId="181" fontId="22" fillId="5" borderId="0" xfId="23" applyNumberFormat="1" applyFont="1" applyFill="1" applyBorder="1" applyAlignment="1">
      <alignment vertical="center" wrapText="1"/>
    </xf>
    <xf numFmtId="38" fontId="22" fillId="5" borderId="0" xfId="4" applyFont="1" applyFill="1" applyBorder="1" applyAlignment="1">
      <alignment vertical="center" wrapText="1"/>
    </xf>
    <xf numFmtId="38" fontId="14" fillId="5" borderId="0" xfId="4" applyFont="1" applyFill="1" applyAlignment="1">
      <alignment horizontal="center" wrapText="1"/>
    </xf>
    <xf numFmtId="38" fontId="14" fillId="5" borderId="0" xfId="4" applyFont="1" applyFill="1" applyBorder="1" applyAlignment="1">
      <alignment horizontal="center" wrapText="1"/>
    </xf>
    <xf numFmtId="38" fontId="11" fillId="5" borderId="1" xfId="17" applyFont="1" applyFill="1" applyBorder="1" applyAlignment="1">
      <alignment vertical="center" wrapText="1"/>
    </xf>
    <xf numFmtId="38" fontId="11" fillId="5" borderId="1" xfId="4" applyFont="1" applyFill="1" applyBorder="1" applyAlignment="1">
      <alignment wrapText="1"/>
    </xf>
    <xf numFmtId="38" fontId="11" fillId="5" borderId="1" xfId="4" applyFont="1" applyFill="1" applyBorder="1">
      <alignment vertical="center"/>
    </xf>
    <xf numFmtId="38" fontId="11" fillId="5" borderId="1" xfId="4" applyFont="1" applyFill="1" applyBorder="1" applyAlignment="1">
      <alignment horizontal="right" vertical="center"/>
    </xf>
    <xf numFmtId="38" fontId="11" fillId="5" borderId="1" xfId="4" applyFont="1" applyFill="1" applyBorder="1" applyAlignment="1">
      <alignment horizontal="center" wrapText="1"/>
    </xf>
    <xf numFmtId="0" fontId="11" fillId="5" borderId="0" xfId="13" applyFill="1">
      <alignment vertical="center"/>
    </xf>
    <xf numFmtId="38" fontId="14" fillId="5" borderId="7" xfId="4" applyFont="1" applyFill="1" applyBorder="1" applyAlignment="1">
      <alignment vertical="center" wrapText="1"/>
    </xf>
    <xf numFmtId="38" fontId="8" fillId="0" borderId="1" xfId="17" applyFont="1" applyFill="1" applyBorder="1" applyAlignment="1"/>
    <xf numFmtId="0" fontId="8" fillId="0" borderId="0" xfId="18" applyFill="1"/>
    <xf numFmtId="40" fontId="23" fillId="0" borderId="1" xfId="18" applyNumberFormat="1" applyFont="1" applyFill="1" applyBorder="1"/>
    <xf numFmtId="0" fontId="8" fillId="0" borderId="1" xfId="18" applyFill="1" applyBorder="1" applyAlignment="1">
      <alignment horizontal="right"/>
    </xf>
    <xf numFmtId="0" fontId="23" fillId="0" borderId="1" xfId="18" applyFont="1" applyFill="1" applyBorder="1"/>
    <xf numFmtId="0" fontId="8" fillId="0" borderId="0" xfId="18" applyFill="1" applyAlignment="1">
      <alignment horizontal="center"/>
    </xf>
    <xf numFmtId="38" fontId="8" fillId="0" borderId="0" xfId="17" applyFont="1" applyFill="1" applyAlignment="1">
      <alignment horizontal="right"/>
    </xf>
    <xf numFmtId="0" fontId="8" fillId="0" borderId="0" xfId="18" applyAlignment="1">
      <alignment horizontal="right"/>
    </xf>
    <xf numFmtId="0" fontId="11" fillId="0" borderId="0" xfId="12" applyFont="1">
      <alignment vertical="center"/>
    </xf>
    <xf numFmtId="0" fontId="11" fillId="4" borderId="1" xfId="12" applyFont="1" applyFill="1" applyBorder="1">
      <alignment vertical="center"/>
    </xf>
    <xf numFmtId="37" fontId="4" fillId="5" borderId="1" xfId="0" applyFont="1" applyFill="1" applyBorder="1"/>
    <xf numFmtId="38" fontId="18" fillId="5" borderId="1" xfId="6" applyFont="1" applyFill="1" applyBorder="1" applyAlignment="1">
      <alignment vertical="center"/>
    </xf>
    <xf numFmtId="0" fontId="18" fillId="5" borderId="0" xfId="12" applyFont="1" applyFill="1">
      <alignment vertical="center"/>
    </xf>
    <xf numFmtId="0" fontId="31" fillId="0" borderId="1" xfId="12" applyFont="1" applyBorder="1" applyAlignment="1">
      <alignment horizontal="left" vertical="center"/>
    </xf>
    <xf numFmtId="0" fontId="46" fillId="0" borderId="0" xfId="24" applyNumberFormat="1" applyAlignment="1">
      <alignment vertical="center"/>
    </xf>
    <xf numFmtId="38" fontId="11" fillId="0" borderId="1" xfId="12" applyNumberFormat="1" applyFont="1" applyBorder="1">
      <alignment vertical="center"/>
    </xf>
    <xf numFmtId="0" fontId="8" fillId="4" borderId="3" xfId="18" applyFill="1" applyBorder="1" applyAlignment="1">
      <alignment vertical="center"/>
    </xf>
    <xf numFmtId="0" fontId="8" fillId="4" borderId="18" xfId="18" applyFill="1" applyBorder="1" applyAlignment="1">
      <alignment vertical="center"/>
    </xf>
    <xf numFmtId="0" fontId="46" fillId="0" borderId="0" xfId="24" applyNumberFormat="1"/>
    <xf numFmtId="38" fontId="14" fillId="8" borderId="1" xfId="4" applyFont="1" applyFill="1" applyBorder="1" applyAlignment="1">
      <alignment vertical="center"/>
    </xf>
    <xf numFmtId="38" fontId="47" fillId="8" borderId="1" xfId="4" applyFont="1" applyFill="1" applyBorder="1" applyAlignment="1">
      <alignment horizontal="left" vertical="center"/>
    </xf>
    <xf numFmtId="38" fontId="47" fillId="8" borderId="1" xfId="4" applyFont="1" applyFill="1" applyBorder="1" applyAlignment="1">
      <alignment horizontal="center" vertical="center" wrapText="1"/>
    </xf>
    <xf numFmtId="38" fontId="22" fillId="0" borderId="1" xfId="4" applyFont="1" applyFill="1" applyBorder="1" applyAlignment="1">
      <alignment horizontal="center" vertical="center"/>
    </xf>
    <xf numFmtId="38" fontId="22" fillId="0" borderId="1" xfId="4" applyFont="1" applyFill="1" applyBorder="1" applyAlignment="1">
      <alignment horizontal="left" vertical="center" wrapText="1"/>
    </xf>
    <xf numFmtId="38" fontId="11" fillId="0" borderId="1" xfId="6" applyFont="1" applyBorder="1" applyAlignment="1">
      <alignment horizontal="right" vertical="center"/>
    </xf>
    <xf numFmtId="38" fontId="49" fillId="0" borderId="0" xfId="6" applyFont="1" applyAlignment="1">
      <alignment vertical="center"/>
    </xf>
    <xf numFmtId="40" fontId="18" fillId="4" borderId="14" xfId="4" applyNumberFormat="1" applyFont="1" applyFill="1" applyBorder="1" applyAlignment="1">
      <alignment horizontal="right" vertical="center" wrapText="1"/>
    </xf>
    <xf numFmtId="38" fontId="11" fillId="0" borderId="1" xfId="4" applyNumberFormat="1" applyFont="1" applyFill="1" applyBorder="1" applyAlignment="1">
      <alignment horizontal="center" vertical="center" wrapText="1"/>
    </xf>
    <xf numFmtId="38" fontId="22" fillId="0" borderId="1" xfId="4" applyFont="1" applyFill="1" applyBorder="1" applyAlignment="1">
      <alignment vertical="center"/>
    </xf>
    <xf numFmtId="0" fontId="8" fillId="4" borderId="1" xfId="18" applyFill="1" applyBorder="1" applyAlignment="1">
      <alignment vertical="center"/>
    </xf>
    <xf numFmtId="38" fontId="11" fillId="0" borderId="7" xfId="4" applyFont="1" applyBorder="1">
      <alignment vertical="center"/>
    </xf>
    <xf numFmtId="38" fontId="11" fillId="0" borderId="4" xfId="4" applyFont="1" applyBorder="1">
      <alignment vertical="center"/>
    </xf>
    <xf numFmtId="38" fontId="8" fillId="0" borderId="0" xfId="18" applyNumberFormat="1" applyFill="1"/>
    <xf numFmtId="38" fontId="40" fillId="4" borderId="1" xfId="18" applyNumberFormat="1" applyFont="1" applyFill="1" applyBorder="1"/>
    <xf numFmtId="38" fontId="8" fillId="4" borderId="1" xfId="17" applyFont="1" applyFill="1" applyBorder="1" applyAlignment="1"/>
    <xf numFmtId="38" fontId="8" fillId="4" borderId="1" xfId="18" applyNumberFormat="1" applyFill="1" applyBorder="1"/>
    <xf numFmtId="0" fontId="21" fillId="0" borderId="1" xfId="22" applyBorder="1" applyAlignment="1">
      <alignment horizontal="right"/>
    </xf>
    <xf numFmtId="0" fontId="8" fillId="0" borderId="1" xfId="18" applyFill="1" applyBorder="1"/>
    <xf numFmtId="38" fontId="8" fillId="0" borderId="1" xfId="18" applyNumberFormat="1" applyFill="1" applyBorder="1"/>
    <xf numFmtId="38" fontId="8" fillId="0" borderId="0" xfId="17" applyFont="1" applyFill="1" applyAlignment="1"/>
    <xf numFmtId="0" fontId="21" fillId="3" borderId="1" xfId="22" applyFill="1" applyBorder="1"/>
    <xf numFmtId="37" fontId="21" fillId="3" borderId="1" xfId="22" applyNumberFormat="1" applyFill="1" applyBorder="1"/>
    <xf numFmtId="38" fontId="14" fillId="0" borderId="5" xfId="4" applyFont="1" applyFill="1" applyBorder="1">
      <alignment vertical="center"/>
    </xf>
    <xf numFmtId="38" fontId="52" fillId="0" borderId="1" xfId="17" applyFont="1" applyFill="1" applyBorder="1" applyAlignment="1"/>
    <xf numFmtId="0" fontId="29" fillId="5" borderId="1" xfId="18" applyFont="1" applyFill="1" applyBorder="1" applyAlignment="1">
      <alignment horizontal="right"/>
    </xf>
    <xf numFmtId="38" fontId="49" fillId="0" borderId="0" xfId="6" applyFont="1" applyAlignment="1">
      <alignment horizontal="right" vertical="center"/>
    </xf>
    <xf numFmtId="0" fontId="11" fillId="0" borderId="0" xfId="12" applyAlignment="1">
      <alignment vertical="center"/>
    </xf>
    <xf numFmtId="38" fontId="40" fillId="0" borderId="1" xfId="18" applyNumberFormat="1" applyFont="1" applyFill="1" applyBorder="1"/>
    <xf numFmtId="1" fontId="8" fillId="5" borderId="1" xfId="18" applyNumberFormat="1" applyFill="1" applyBorder="1"/>
    <xf numFmtId="0" fontId="11" fillId="4" borderId="1" xfId="12" applyFill="1" applyBorder="1" applyAlignment="1">
      <alignment horizontal="right" vertical="center"/>
    </xf>
    <xf numFmtId="0" fontId="53" fillId="0" borderId="9" xfId="22" applyFont="1" applyFill="1" applyBorder="1"/>
    <xf numFmtId="176" fontId="11" fillId="4" borderId="1" xfId="4" applyNumberFormat="1" applyFont="1" applyFill="1" applyBorder="1" applyAlignment="1">
      <alignment horizontal="right" wrapText="1"/>
    </xf>
    <xf numFmtId="180" fontId="11" fillId="4" borderId="1" xfId="4" applyNumberFormat="1" applyFont="1" applyFill="1" applyBorder="1" applyAlignment="1">
      <alignment horizontal="right" wrapText="1"/>
    </xf>
    <xf numFmtId="38" fontId="24" fillId="4" borderId="2" xfId="4" applyFont="1" applyFill="1" applyBorder="1" applyAlignment="1">
      <alignment horizontal="left" vertical="center"/>
    </xf>
    <xf numFmtId="0" fontId="18" fillId="4" borderId="1" xfId="12" applyFont="1" applyFill="1" applyBorder="1" applyAlignment="1">
      <alignment vertical="center" wrapText="1"/>
    </xf>
    <xf numFmtId="0" fontId="18" fillId="4" borderId="1" xfId="12" applyFont="1" applyFill="1" applyBorder="1" applyAlignment="1">
      <alignment horizontal="center" vertical="center"/>
    </xf>
    <xf numFmtId="0" fontId="49" fillId="4" borderId="1" xfId="12" applyFont="1" applyFill="1" applyBorder="1" applyAlignment="1">
      <alignment vertical="center" wrapText="1"/>
    </xf>
    <xf numFmtId="38" fontId="21" fillId="0" borderId="0" xfId="22" applyNumberFormat="1"/>
    <xf numFmtId="182" fontId="11" fillId="4" borderId="1" xfId="4" applyNumberFormat="1" applyFont="1" applyFill="1" applyBorder="1" applyAlignment="1">
      <alignment horizontal="center" vertical="center" wrapText="1"/>
    </xf>
    <xf numFmtId="38" fontId="11" fillId="0" borderId="3" xfId="4" applyFont="1" applyFill="1" applyBorder="1" applyAlignment="1">
      <alignment wrapText="1"/>
    </xf>
    <xf numFmtId="38" fontId="55" fillId="0" borderId="0" xfId="6" applyFont="1" applyAlignment="1">
      <alignment vertical="center"/>
    </xf>
    <xf numFmtId="37" fontId="21" fillId="0" borderId="5" xfId="22" applyNumberFormat="1" applyBorder="1"/>
    <xf numFmtId="37" fontId="56" fillId="0" borderId="1" xfId="22" applyNumberFormat="1" applyFont="1" applyBorder="1"/>
    <xf numFmtId="37" fontId="4" fillId="0" borderId="0" xfId="0" applyFont="1"/>
    <xf numFmtId="182" fontId="13" fillId="4" borderId="1" xfId="4" applyNumberFormat="1" applyFont="1" applyFill="1" applyBorder="1" applyAlignment="1">
      <alignment vertical="center" wrapText="1"/>
    </xf>
    <xf numFmtId="182" fontId="22" fillId="4" borderId="1" xfId="4" applyNumberFormat="1" applyFont="1" applyFill="1" applyBorder="1" applyAlignment="1">
      <alignment horizontal="left" vertical="center" wrapText="1"/>
    </xf>
    <xf numFmtId="176" fontId="11" fillId="4" borderId="1" xfId="4" applyNumberFormat="1" applyFont="1" applyFill="1" applyBorder="1" applyAlignment="1">
      <alignment horizontal="center" vertical="center" wrapText="1"/>
    </xf>
    <xf numFmtId="38" fontId="11" fillId="4" borderId="1" xfId="4" applyFont="1" applyFill="1" applyBorder="1" applyAlignment="1">
      <alignment horizontal="right" vertical="center" wrapText="1"/>
    </xf>
    <xf numFmtId="37" fontId="46" fillId="0" borderId="0" xfId="24"/>
    <xf numFmtId="0" fontId="8" fillId="4" borderId="1" xfId="18" applyFill="1" applyBorder="1" applyAlignment="1">
      <alignment horizontal="left" vertical="top"/>
    </xf>
    <xf numFmtId="0" fontId="8" fillId="4" borderId="1" xfId="18" applyFill="1" applyBorder="1" applyAlignment="1">
      <alignment vertical="center" wrapText="1"/>
    </xf>
    <xf numFmtId="37" fontId="0" fillId="4" borderId="1" xfId="0" applyFill="1" applyBorder="1" applyAlignment="1">
      <alignment horizontal="left" vertical="top"/>
    </xf>
    <xf numFmtId="176" fontId="11" fillId="7" borderId="0" xfId="6" applyNumberFormat="1" applyFont="1" applyFill="1" applyBorder="1" applyAlignment="1">
      <alignment vertical="center"/>
    </xf>
    <xf numFmtId="0" fontId="11" fillId="3" borderId="2" xfId="12" applyFill="1" applyBorder="1" applyAlignment="1">
      <alignment horizontal="center" vertical="center"/>
    </xf>
    <xf numFmtId="37" fontId="4" fillId="11" borderId="1" xfId="0" applyFont="1" applyFill="1" applyBorder="1"/>
    <xf numFmtId="38" fontId="8" fillId="11" borderId="1" xfId="6" applyFont="1" applyFill="1" applyBorder="1"/>
    <xf numFmtId="183" fontId="11" fillId="0" borderId="1" xfId="4" applyNumberFormat="1" applyFont="1" applyFill="1" applyBorder="1" applyAlignment="1">
      <alignment vertical="center" wrapText="1"/>
    </xf>
    <xf numFmtId="37" fontId="10" fillId="3" borderId="1" xfId="0" applyFont="1" applyFill="1" applyBorder="1"/>
    <xf numFmtId="37" fontId="10" fillId="0" borderId="1" xfId="0" applyFont="1" applyBorder="1"/>
    <xf numFmtId="37" fontId="10" fillId="0" borderId="0" xfId="0" applyFont="1"/>
    <xf numFmtId="37" fontId="10" fillId="0" borderId="0" xfId="0" applyFont="1" applyAlignment="1">
      <alignment horizontal="right"/>
    </xf>
    <xf numFmtId="38" fontId="18" fillId="0" borderId="1" xfId="6" applyFont="1" applyBorder="1" applyAlignment="1">
      <alignment horizontal="center" vertical="center"/>
    </xf>
    <xf numFmtId="38" fontId="49" fillId="0" borderId="1" xfId="6" applyFont="1" applyBorder="1" applyAlignment="1">
      <alignment horizontal="center" vertical="center"/>
    </xf>
    <xf numFmtId="38" fontId="49" fillId="0" borderId="1" xfId="6" applyFont="1" applyBorder="1" applyAlignment="1">
      <alignment horizontal="right" vertical="center"/>
    </xf>
    <xf numFmtId="38" fontId="18" fillId="11" borderId="1" xfId="6" applyFont="1" applyFill="1" applyBorder="1" applyAlignment="1">
      <alignment vertical="center"/>
    </xf>
    <xf numFmtId="37" fontId="58" fillId="0" borderId="0" xfId="0" applyFont="1"/>
    <xf numFmtId="37" fontId="59" fillId="0" borderId="0" xfId="0" applyFont="1" applyAlignment="1">
      <alignment horizontal="right"/>
    </xf>
    <xf numFmtId="37" fontId="57" fillId="0" borderId="0" xfId="0" applyFont="1" applyAlignment="1">
      <alignment horizontal="center" vertical="center"/>
    </xf>
    <xf numFmtId="37" fontId="0" fillId="0" borderId="0" xfId="0" applyAlignment="1">
      <alignment horizontal="center" vertical="center"/>
    </xf>
    <xf numFmtId="37" fontId="0" fillId="0" borderId="0" xfId="0" applyAlignment="1">
      <alignment horizontal="left" vertical="center"/>
    </xf>
    <xf numFmtId="37" fontId="57" fillId="0" borderId="0" xfId="0" applyFont="1" applyAlignment="1">
      <alignment horizontal="left" vertical="center"/>
    </xf>
    <xf numFmtId="0" fontId="21" fillId="0" borderId="1" xfId="22" applyFill="1" applyBorder="1"/>
    <xf numFmtId="37" fontId="21" fillId="0" borderId="10" xfId="22" applyNumberFormat="1" applyFill="1" applyBorder="1" applyAlignment="1">
      <alignment horizontal="left"/>
    </xf>
    <xf numFmtId="0" fontId="13" fillId="0" borderId="0" xfId="12" applyFont="1" applyFill="1">
      <alignment vertical="center"/>
    </xf>
    <xf numFmtId="0" fontId="31" fillId="0" borderId="1" xfId="12" applyFont="1" applyFill="1" applyBorder="1">
      <alignment vertical="center"/>
    </xf>
    <xf numFmtId="0" fontId="18" fillId="0" borderId="0" xfId="12" applyFont="1" applyFill="1">
      <alignment vertical="center"/>
    </xf>
    <xf numFmtId="0" fontId="11" fillId="0" borderId="1" xfId="12" applyFont="1" applyBorder="1" applyAlignment="1">
      <alignment horizontal="center" vertical="center"/>
    </xf>
    <xf numFmtId="38" fontId="18" fillId="2" borderId="1" xfId="6" applyFont="1" applyFill="1" applyBorder="1" applyAlignment="1">
      <alignment horizontal="center" vertical="center"/>
    </xf>
    <xf numFmtId="38" fontId="18" fillId="0" borderId="0" xfId="6" applyFont="1" applyFill="1" applyBorder="1" applyAlignment="1">
      <alignment horizontal="center" vertical="center"/>
    </xf>
    <xf numFmtId="176" fontId="11" fillId="0" borderId="1" xfId="12" applyNumberFormat="1" applyFill="1" applyBorder="1">
      <alignment vertical="center"/>
    </xf>
    <xf numFmtId="2" fontId="11" fillId="0" borderId="1" xfId="12" applyNumberFormat="1" applyFill="1" applyBorder="1">
      <alignment vertical="center"/>
    </xf>
    <xf numFmtId="0" fontId="21" fillId="11" borderId="9" xfId="22" applyFill="1" applyBorder="1"/>
    <xf numFmtId="0" fontId="21" fillId="11" borderId="1" xfId="22" applyFill="1" applyBorder="1"/>
    <xf numFmtId="37" fontId="21" fillId="11" borderId="1" xfId="22" applyNumberFormat="1" applyFill="1" applyBorder="1"/>
    <xf numFmtId="38" fontId="8" fillId="11" borderId="1" xfId="6" applyFont="1" applyFill="1" applyBorder="1" applyAlignment="1">
      <alignment vertical="center"/>
    </xf>
    <xf numFmtId="38" fontId="50" fillId="11" borderId="0" xfId="17" applyFont="1" applyFill="1" applyAlignment="1"/>
    <xf numFmtId="38" fontId="11" fillId="3" borderId="1" xfId="4" applyFont="1" applyFill="1" applyBorder="1" applyAlignment="1">
      <alignment horizontal="center" wrapText="1"/>
    </xf>
    <xf numFmtId="38" fontId="14" fillId="3" borderId="1" xfId="4" applyFont="1" applyFill="1" applyBorder="1" applyAlignment="1">
      <alignment vertical="center" wrapText="1"/>
    </xf>
    <xf numFmtId="38" fontId="27" fillId="3" borderId="1" xfId="4" applyFont="1" applyFill="1" applyBorder="1" applyAlignment="1">
      <alignment horizontal="center" vertical="center" wrapText="1"/>
    </xf>
    <xf numFmtId="38" fontId="25" fillId="3" borderId="1" xfId="4" applyFont="1" applyFill="1" applyBorder="1" applyAlignment="1">
      <alignment vertical="center" wrapText="1"/>
    </xf>
    <xf numFmtId="176" fontId="14" fillId="3" borderId="1" xfId="4" applyNumberFormat="1" applyFont="1" applyFill="1" applyBorder="1" applyAlignment="1">
      <alignment horizontal="center" vertical="center" wrapText="1"/>
    </xf>
    <xf numFmtId="181" fontId="14" fillId="3" borderId="0" xfId="23" applyNumberFormat="1" applyFont="1" applyFill="1">
      <alignment vertical="center"/>
    </xf>
    <xf numFmtId="38" fontId="14" fillId="3" borderId="1" xfId="4" applyFont="1" applyFill="1" applyBorder="1" applyAlignment="1">
      <alignment horizontal="right" vertical="center" wrapText="1"/>
    </xf>
    <xf numFmtId="38" fontId="11" fillId="3" borderId="1" xfId="4" applyFont="1" applyFill="1" applyBorder="1" applyAlignment="1">
      <alignment vertical="center" wrapText="1"/>
    </xf>
    <xf numFmtId="38" fontId="11" fillId="11" borderId="1" xfId="4" applyFont="1" applyFill="1" applyBorder="1" applyAlignment="1">
      <alignment horizontal="right" vertical="center" wrapText="1"/>
    </xf>
    <xf numFmtId="38" fontId="14" fillId="3" borderId="1" xfId="4" applyFont="1" applyFill="1" applyBorder="1" applyAlignment="1">
      <alignment horizontal="center" vertical="center" wrapText="1"/>
    </xf>
    <xf numFmtId="38" fontId="47" fillId="3" borderId="1" xfId="4" applyFont="1" applyFill="1" applyBorder="1" applyAlignment="1">
      <alignment horizontal="left" vertical="center"/>
    </xf>
    <xf numFmtId="38" fontId="28" fillId="3" borderId="1" xfId="4" applyFont="1" applyFill="1" applyBorder="1" applyAlignment="1">
      <alignment horizontal="center" vertical="center" wrapText="1"/>
    </xf>
    <xf numFmtId="0" fontId="8" fillId="3" borderId="1" xfId="18" applyFill="1" applyBorder="1" applyAlignment="1">
      <alignment vertical="center"/>
    </xf>
    <xf numFmtId="38" fontId="10" fillId="3" borderId="1" xfId="6" applyFont="1" applyFill="1" applyBorder="1" applyAlignment="1">
      <alignment vertical="center"/>
    </xf>
    <xf numFmtId="0" fontId="8" fillId="3" borderId="1" xfId="18" applyFill="1" applyBorder="1"/>
    <xf numFmtId="38" fontId="10" fillId="3" borderId="1" xfId="6" applyFont="1" applyFill="1" applyBorder="1"/>
    <xf numFmtId="0" fontId="8" fillId="3" borderId="0" xfId="18" applyFill="1" applyBorder="1" applyAlignment="1">
      <alignment vertical="center"/>
    </xf>
    <xf numFmtId="0" fontId="8" fillId="5" borderId="0" xfId="18" applyFill="1" applyBorder="1"/>
    <xf numFmtId="0" fontId="8" fillId="3" borderId="0" xfId="18" applyFill="1" applyBorder="1"/>
    <xf numFmtId="37" fontId="10" fillId="5" borderId="0" xfId="0" applyFont="1" applyFill="1" applyBorder="1"/>
    <xf numFmtId="0" fontId="29" fillId="3" borderId="1" xfId="18" applyFont="1" applyFill="1" applyBorder="1" applyAlignment="1">
      <alignment horizontal="center"/>
    </xf>
    <xf numFmtId="38" fontId="29" fillId="3" borderId="1" xfId="6" applyFont="1" applyFill="1" applyBorder="1" applyAlignment="1">
      <alignment horizontal="center"/>
    </xf>
    <xf numFmtId="38" fontId="29" fillId="3" borderId="1" xfId="6" applyFont="1" applyFill="1" applyBorder="1" applyAlignment="1">
      <alignment horizontal="center" wrapText="1"/>
    </xf>
    <xf numFmtId="0" fontId="8" fillId="3" borderId="1" xfId="18" applyFill="1" applyBorder="1" applyAlignment="1">
      <alignment horizontal="left"/>
    </xf>
    <xf numFmtId="37" fontId="10" fillId="3" borderId="19" xfId="0" applyFont="1" applyFill="1" applyBorder="1" applyAlignment="1">
      <alignment horizontal="center"/>
    </xf>
    <xf numFmtId="37" fontId="10" fillId="3" borderId="20" xfId="0" applyFont="1" applyFill="1" applyBorder="1" applyAlignment="1">
      <alignment horizontal="center"/>
    </xf>
    <xf numFmtId="37" fontId="10" fillId="3" borderId="21" xfId="0" applyFont="1" applyFill="1" applyBorder="1" applyAlignment="1">
      <alignment horizontal="center"/>
    </xf>
    <xf numFmtId="37" fontId="10" fillId="3" borderId="22" xfId="0" applyFont="1" applyFill="1" applyBorder="1"/>
    <xf numFmtId="37" fontId="10" fillId="0" borderId="23" xfId="0" applyFont="1" applyBorder="1"/>
    <xf numFmtId="37" fontId="10" fillId="0" borderId="24" xfId="0" applyFont="1" applyBorder="1"/>
    <xf numFmtId="37" fontId="10" fillId="0" borderId="25" xfId="0" applyFont="1" applyBorder="1"/>
    <xf numFmtId="37" fontId="10" fillId="3" borderId="25" xfId="0" applyFont="1" applyFill="1" applyBorder="1"/>
    <xf numFmtId="37" fontId="10" fillId="4" borderId="23" xfId="22" applyNumberFormat="1" applyFont="1" applyFill="1" applyBorder="1"/>
    <xf numFmtId="0" fontId="10" fillId="4" borderId="26" xfId="22" applyFont="1" applyFill="1" applyBorder="1"/>
    <xf numFmtId="37" fontId="10" fillId="3" borderId="24" xfId="0" applyFont="1" applyFill="1" applyBorder="1"/>
    <xf numFmtId="37" fontId="10" fillId="0" borderId="26" xfId="0" applyFont="1" applyBorder="1"/>
    <xf numFmtId="37" fontId="10" fillId="3" borderId="27" xfId="0" applyFont="1" applyFill="1" applyBorder="1" applyAlignment="1">
      <alignment horizontal="center"/>
    </xf>
    <xf numFmtId="37" fontId="10" fillId="0" borderId="28" xfId="0" applyFont="1" applyBorder="1" applyAlignment="1">
      <alignment horizontal="center"/>
    </xf>
    <xf numFmtId="37" fontId="10" fillId="4" borderId="28" xfId="0" applyFont="1" applyFill="1" applyBorder="1" applyAlignment="1">
      <alignment horizontal="center"/>
    </xf>
    <xf numFmtId="37" fontId="60" fillId="0" borderId="27" xfId="0" applyFont="1" applyBorder="1"/>
    <xf numFmtId="37" fontId="10" fillId="4" borderId="28" xfId="0" applyFont="1" applyFill="1" applyBorder="1"/>
    <xf numFmtId="0" fontId="11" fillId="4" borderId="3" xfId="12" applyFont="1" applyFill="1" applyBorder="1">
      <alignment vertical="center"/>
    </xf>
    <xf numFmtId="0" fontId="31" fillId="0" borderId="3" xfId="12" applyFont="1" applyBorder="1">
      <alignment vertical="center"/>
    </xf>
    <xf numFmtId="0" fontId="18" fillId="4" borderId="3" xfId="12" applyFont="1" applyFill="1" applyBorder="1">
      <alignment vertical="center"/>
    </xf>
    <xf numFmtId="38" fontId="18" fillId="4" borderId="3" xfId="6" applyFont="1" applyFill="1" applyBorder="1" applyAlignment="1">
      <alignment vertical="center"/>
    </xf>
    <xf numFmtId="38" fontId="18" fillId="0" borderId="3" xfId="6" applyFont="1" applyFill="1" applyBorder="1" applyAlignment="1">
      <alignment vertical="center"/>
    </xf>
    <xf numFmtId="0" fontId="18" fillId="4" borderId="3" xfId="12" applyFont="1" applyFill="1" applyBorder="1" applyAlignment="1">
      <alignment horizontal="center" vertical="center"/>
    </xf>
    <xf numFmtId="0" fontId="11" fillId="4" borderId="19" xfId="12" applyFont="1" applyFill="1" applyBorder="1">
      <alignment vertical="center"/>
    </xf>
    <xf numFmtId="0" fontId="31" fillId="0" borderId="20" xfId="12" applyFont="1" applyFill="1" applyBorder="1">
      <alignment vertical="center"/>
    </xf>
    <xf numFmtId="0" fontId="18" fillId="4" borderId="20" xfId="12" applyFont="1" applyFill="1" applyBorder="1">
      <alignment vertical="center"/>
    </xf>
    <xf numFmtId="38" fontId="18" fillId="4" borderId="20" xfId="6" applyFont="1" applyFill="1" applyBorder="1" applyAlignment="1">
      <alignment vertical="center"/>
    </xf>
    <xf numFmtId="0" fontId="18" fillId="4" borderId="21" xfId="12" applyFont="1" applyFill="1" applyBorder="1" applyAlignment="1">
      <alignment horizontal="center" vertical="center"/>
    </xf>
    <xf numFmtId="0" fontId="11" fillId="4" borderId="22" xfId="12" applyFont="1" applyFill="1" applyBorder="1">
      <alignment vertical="center"/>
    </xf>
    <xf numFmtId="0" fontId="18" fillId="4" borderId="23" xfId="12" applyFont="1" applyFill="1" applyBorder="1" applyAlignment="1">
      <alignment horizontal="center" vertical="center"/>
    </xf>
    <xf numFmtId="0" fontId="11" fillId="4" borderId="24" xfId="12" applyFont="1" applyFill="1" applyBorder="1">
      <alignment vertical="center"/>
    </xf>
    <xf numFmtId="0" fontId="31" fillId="0" borderId="25" xfId="12" applyFont="1" applyFill="1" applyBorder="1">
      <alignment vertical="center"/>
    </xf>
    <xf numFmtId="0" fontId="18" fillId="4" borderId="25" xfId="12" applyFont="1" applyFill="1" applyBorder="1">
      <alignment vertical="center"/>
    </xf>
    <xf numFmtId="38" fontId="18" fillId="4" borderId="25" xfId="6" applyFont="1" applyFill="1" applyBorder="1" applyAlignment="1">
      <alignment vertical="center"/>
    </xf>
    <xf numFmtId="0" fontId="18" fillId="4" borderId="26" xfId="12" applyFont="1" applyFill="1" applyBorder="1" applyAlignment="1">
      <alignment horizontal="center" vertical="center"/>
    </xf>
    <xf numFmtId="38" fontId="11" fillId="0" borderId="1" xfId="12" applyNumberFormat="1" applyFill="1" applyBorder="1">
      <alignment vertical="center"/>
    </xf>
    <xf numFmtId="38" fontId="8" fillId="3" borderId="1" xfId="18" applyNumberFormat="1" applyFill="1" applyBorder="1"/>
    <xf numFmtId="38" fontId="8" fillId="3" borderId="1" xfId="17" applyFont="1" applyFill="1" applyBorder="1" applyAlignment="1"/>
    <xf numFmtId="40" fontId="23" fillId="3" borderId="1" xfId="18" applyNumberFormat="1" applyFont="1" applyFill="1" applyBorder="1"/>
    <xf numFmtId="178" fontId="8" fillId="3" borderId="1" xfId="18" applyNumberFormat="1" applyFill="1" applyBorder="1"/>
    <xf numFmtId="0" fontId="23" fillId="3" borderId="1" xfId="18" applyFont="1" applyFill="1" applyBorder="1"/>
    <xf numFmtId="38" fontId="23" fillId="11" borderId="1" xfId="17" applyFont="1" applyFill="1" applyBorder="1" applyAlignment="1"/>
    <xf numFmtId="38" fontId="11" fillId="7" borderId="0" xfId="6" applyNumberFormat="1" applyFont="1" applyFill="1" applyBorder="1" applyAlignment="1">
      <alignment vertical="center"/>
    </xf>
    <xf numFmtId="0" fontId="11" fillId="3" borderId="7" xfId="12" applyFill="1" applyBorder="1" applyAlignment="1">
      <alignment horizontal="center" vertical="center" wrapText="1"/>
    </xf>
    <xf numFmtId="38" fontId="11" fillId="3" borderId="1" xfId="6" applyFont="1" applyFill="1" applyBorder="1" applyAlignment="1">
      <alignment horizontal="center" vertical="center" wrapText="1"/>
    </xf>
    <xf numFmtId="0" fontId="11" fillId="3" borderId="9" xfId="12" applyFill="1" applyBorder="1" applyAlignment="1">
      <alignment horizontal="center" vertical="center"/>
    </xf>
    <xf numFmtId="0" fontId="14" fillId="3" borderId="2" xfId="12" applyFont="1" applyFill="1" applyBorder="1" applyAlignment="1">
      <alignment horizontal="center" vertical="center"/>
    </xf>
    <xf numFmtId="0" fontId="11" fillId="3" borderId="7" xfId="12" applyFill="1" applyBorder="1">
      <alignment vertical="center"/>
    </xf>
    <xf numFmtId="0" fontId="11" fillId="3" borderId="8" xfId="12" applyFill="1" applyBorder="1">
      <alignment vertical="center"/>
    </xf>
    <xf numFmtId="0" fontId="11" fillId="3" borderId="4" xfId="12" applyFill="1" applyBorder="1">
      <alignment vertical="center"/>
    </xf>
    <xf numFmtId="0" fontId="11" fillId="3" borderId="18" xfId="12" applyFill="1" applyBorder="1" applyAlignment="1">
      <alignment horizontal="center" vertical="center" wrapText="1"/>
    </xf>
    <xf numFmtId="0" fontId="28" fillId="3" borderId="8" xfId="12" applyFont="1" applyFill="1" applyBorder="1">
      <alignment vertical="center"/>
    </xf>
    <xf numFmtId="0" fontId="52" fillId="11" borderId="1" xfId="18" applyFont="1" applyFill="1" applyBorder="1" applyAlignment="1">
      <alignment vertical="center"/>
    </xf>
    <xf numFmtId="0" fontId="8" fillId="3" borderId="0" xfId="18" applyFill="1" applyAlignment="1">
      <alignment vertical="center"/>
    </xf>
    <xf numFmtId="38" fontId="10" fillId="3" borderId="0" xfId="6" applyFont="1" applyFill="1" applyAlignment="1">
      <alignment vertical="center"/>
    </xf>
    <xf numFmtId="38" fontId="11" fillId="3" borderId="1" xfId="13" applyNumberFormat="1" applyFill="1" applyBorder="1" applyAlignment="1">
      <alignment horizontal="center" wrapText="1"/>
    </xf>
    <xf numFmtId="38" fontId="26" fillId="5" borderId="0" xfId="4" applyFont="1" applyFill="1" applyBorder="1" applyAlignment="1">
      <alignment vertical="center" wrapText="1"/>
    </xf>
    <xf numFmtId="38" fontId="11" fillId="5" borderId="0" xfId="4" applyFont="1" applyFill="1" applyAlignment="1">
      <alignment vertical="center" wrapText="1"/>
    </xf>
    <xf numFmtId="38" fontId="13" fillId="5" borderId="0" xfId="4" applyFont="1" applyFill="1" applyAlignment="1">
      <alignment horizontal="center" wrapText="1"/>
    </xf>
    <xf numFmtId="38" fontId="15" fillId="5" borderId="0" xfId="4" applyFont="1" applyFill="1">
      <alignment vertical="center"/>
    </xf>
    <xf numFmtId="38" fontId="14" fillId="5" borderId="0" xfId="4" applyFont="1" applyFill="1" applyBorder="1" applyAlignment="1">
      <alignment horizontal="right" wrapText="1"/>
    </xf>
    <xf numFmtId="38" fontId="14" fillId="5" borderId="1" xfId="4" applyFont="1" applyFill="1" applyBorder="1" applyAlignment="1">
      <alignment horizontal="right" vertical="center" wrapText="1"/>
    </xf>
    <xf numFmtId="38" fontId="11" fillId="5" borderId="4" xfId="4" applyFont="1" applyFill="1" applyBorder="1" applyAlignment="1">
      <alignment horizontal="center" vertical="center"/>
    </xf>
    <xf numFmtId="182" fontId="22" fillId="0" borderId="3" xfId="4" applyNumberFormat="1" applyFont="1" applyFill="1" applyBorder="1" applyAlignment="1">
      <alignment horizontal="left" vertical="center"/>
    </xf>
    <xf numFmtId="182" fontId="11" fillId="0" borderId="3" xfId="4" applyNumberFormat="1" applyFont="1" applyFill="1" applyBorder="1" applyAlignment="1">
      <alignment horizontal="center" vertical="center" wrapText="1"/>
    </xf>
    <xf numFmtId="182" fontId="11" fillId="5" borderId="3" xfId="4" applyNumberFormat="1" applyFont="1" applyFill="1" applyBorder="1" applyAlignment="1">
      <alignment horizontal="center" vertical="center" wrapText="1"/>
    </xf>
    <xf numFmtId="38" fontId="11" fillId="4" borderId="3" xfId="17" applyFont="1" applyFill="1" applyBorder="1" applyAlignment="1">
      <alignment vertical="center" wrapText="1"/>
    </xf>
    <xf numFmtId="38" fontId="11" fillId="0" borderId="1" xfId="4" applyFont="1" applyFill="1" applyBorder="1" applyAlignment="1">
      <alignment horizontal="center" vertical="center"/>
    </xf>
    <xf numFmtId="38" fontId="16" fillId="0" borderId="1" xfId="4" applyFont="1" applyFill="1" applyBorder="1" applyAlignment="1">
      <alignment vertical="center" wrapText="1"/>
    </xf>
    <xf numFmtId="38" fontId="13" fillId="0" borderId="1" xfId="4" applyFont="1" applyFill="1" applyBorder="1" applyAlignment="1">
      <alignment vertical="center"/>
    </xf>
    <xf numFmtId="38" fontId="17" fillId="0" borderId="1" xfId="4" applyFont="1" applyFill="1" applyBorder="1" applyAlignment="1">
      <alignment horizontal="center" vertical="center" wrapText="1"/>
    </xf>
    <xf numFmtId="182" fontId="11" fillId="5" borderId="2" xfId="4" applyNumberFormat="1" applyFont="1" applyFill="1" applyBorder="1" applyAlignment="1">
      <alignment horizontal="center" vertical="center" wrapText="1"/>
    </xf>
    <xf numFmtId="38" fontId="22" fillId="0" borderId="1" xfId="4" applyFont="1" applyFill="1" applyBorder="1" applyAlignment="1">
      <alignment horizontal="left" vertical="center"/>
    </xf>
    <xf numFmtId="179" fontId="22" fillId="0" borderId="1" xfId="4" applyNumberFormat="1" applyFont="1" applyFill="1" applyBorder="1" applyAlignment="1">
      <alignment horizontal="center" vertical="center" wrapText="1"/>
    </xf>
    <xf numFmtId="182" fontId="11" fillId="5" borderId="1" xfId="4" applyNumberFormat="1" applyFont="1" applyFill="1" applyBorder="1" applyAlignment="1">
      <alignment horizontal="center" vertical="center" wrapText="1"/>
    </xf>
    <xf numFmtId="182" fontId="13" fillId="3" borderId="29" xfId="4" applyNumberFormat="1" applyFont="1" applyFill="1" applyBorder="1" applyAlignment="1">
      <alignment vertical="center" wrapText="1"/>
    </xf>
    <xf numFmtId="182" fontId="22" fillId="3" borderId="30" xfId="4" applyNumberFormat="1" applyFont="1" applyFill="1" applyBorder="1" applyAlignment="1">
      <alignment horizontal="left" vertical="center" wrapText="1"/>
    </xf>
    <xf numFmtId="182" fontId="11" fillId="3" borderId="30" xfId="4" applyNumberFormat="1" applyFont="1" applyFill="1" applyBorder="1" applyAlignment="1">
      <alignment horizontal="center" vertical="center" wrapText="1"/>
    </xf>
    <xf numFmtId="182" fontId="13" fillId="3" borderId="31" xfId="4" applyNumberFormat="1" applyFont="1" applyFill="1" applyBorder="1" applyAlignment="1">
      <alignment vertical="center" wrapText="1"/>
    </xf>
    <xf numFmtId="182" fontId="22" fillId="3" borderId="32" xfId="4" applyNumberFormat="1" applyFont="1" applyFill="1" applyBorder="1" applyAlignment="1">
      <alignment horizontal="left" vertical="center" wrapText="1"/>
    </xf>
    <xf numFmtId="182" fontId="11" fillId="3" borderId="32" xfId="4" applyNumberFormat="1" applyFont="1" applyFill="1" applyBorder="1" applyAlignment="1">
      <alignment horizontal="center" vertical="center" wrapText="1"/>
    </xf>
    <xf numFmtId="38" fontId="11" fillId="4" borderId="32" xfId="17" applyFont="1" applyFill="1" applyBorder="1" applyAlignment="1">
      <alignment vertical="center" wrapText="1"/>
    </xf>
    <xf numFmtId="38" fontId="11" fillId="4" borderId="33" xfId="17" applyFont="1" applyFill="1" applyBorder="1" applyAlignment="1">
      <alignment vertical="center" wrapText="1"/>
    </xf>
    <xf numFmtId="37" fontId="4" fillId="4" borderId="1" xfId="0" applyFont="1" applyFill="1" applyBorder="1"/>
    <xf numFmtId="38" fontId="11" fillId="3" borderId="7" xfId="6" applyFont="1" applyFill="1" applyBorder="1" applyAlignment="1">
      <alignment horizontal="center" vertical="center"/>
    </xf>
    <xf numFmtId="0" fontId="11" fillId="3" borderId="35" xfId="12" applyFill="1" applyBorder="1" applyAlignment="1">
      <alignment horizontal="center" vertical="center"/>
    </xf>
    <xf numFmtId="38" fontId="11" fillId="3" borderId="36" xfId="6" applyFont="1" applyFill="1" applyBorder="1" applyAlignment="1">
      <alignment horizontal="center" vertical="center"/>
    </xf>
    <xf numFmtId="0" fontId="11" fillId="4" borderId="1" xfId="12" applyFill="1" applyBorder="1" applyAlignment="1">
      <alignment vertical="center"/>
    </xf>
    <xf numFmtId="184" fontId="11" fillId="4" borderId="1" xfId="6" applyNumberFormat="1" applyFont="1" applyFill="1" applyBorder="1" applyAlignment="1">
      <alignment vertical="center"/>
    </xf>
    <xf numFmtId="38" fontId="11" fillId="3" borderId="2" xfId="6" applyFont="1" applyFill="1" applyBorder="1" applyAlignment="1">
      <alignment horizontal="center" vertical="center" wrapText="1"/>
    </xf>
    <xf numFmtId="0" fontId="11" fillId="0" borderId="0" xfId="12" applyAlignment="1">
      <alignment horizontal="right" vertical="center"/>
    </xf>
    <xf numFmtId="38" fontId="11" fillId="0" borderId="0" xfId="6" applyFont="1" applyFill="1" applyAlignment="1">
      <alignment horizontal="right" vertical="center"/>
    </xf>
    <xf numFmtId="0" fontId="11" fillId="3" borderId="2" xfId="12" applyFill="1" applyBorder="1" applyAlignment="1">
      <alignment horizontal="center" vertical="center" wrapText="1"/>
    </xf>
    <xf numFmtId="0" fontId="11" fillId="3" borderId="34" xfId="12" applyFill="1" applyBorder="1" applyAlignment="1">
      <alignment horizontal="left" vertical="center"/>
    </xf>
    <xf numFmtId="0" fontId="11" fillId="3" borderId="35" xfId="12" applyFont="1" applyFill="1" applyBorder="1" applyAlignment="1">
      <alignment horizontal="left" vertical="center"/>
    </xf>
    <xf numFmtId="184" fontId="11" fillId="4" borderId="1" xfId="6" applyNumberFormat="1" applyFont="1" applyFill="1" applyBorder="1" applyAlignment="1">
      <alignment horizontal="right" vertical="center"/>
    </xf>
    <xf numFmtId="38" fontId="11" fillId="4" borderId="1" xfId="12" applyNumberFormat="1" applyFill="1" applyBorder="1">
      <alignment vertical="center"/>
    </xf>
    <xf numFmtId="38" fontId="11" fillId="4" borderId="1" xfId="12" applyNumberFormat="1" applyFill="1" applyBorder="1" applyAlignment="1">
      <alignment horizontal="center" vertical="center"/>
    </xf>
    <xf numFmtId="179" fontId="11" fillId="11" borderId="1" xfId="4" applyNumberFormat="1" applyFont="1" applyFill="1" applyBorder="1" applyAlignment="1">
      <alignment horizontal="right" vertical="center" wrapText="1"/>
    </xf>
    <xf numFmtId="179" fontId="11" fillId="4" borderId="1" xfId="4" applyNumberFormat="1" applyFont="1" applyFill="1" applyBorder="1" applyAlignment="1">
      <alignment vertical="center" wrapText="1"/>
    </xf>
    <xf numFmtId="38" fontId="11" fillId="11" borderId="1" xfId="17" applyFont="1" applyFill="1" applyBorder="1" applyAlignment="1">
      <alignment horizontal="right" vertical="center" wrapText="1"/>
    </xf>
    <xf numFmtId="38" fontId="11" fillId="11" borderId="1" xfId="4" applyNumberFormat="1" applyFont="1" applyFill="1" applyBorder="1" applyAlignment="1">
      <alignment horizontal="center" vertical="center" wrapText="1"/>
    </xf>
    <xf numFmtId="40" fontId="11" fillId="11" borderId="13" xfId="4" applyNumberFormat="1" applyFont="1" applyFill="1" applyBorder="1" applyAlignment="1">
      <alignment horizontal="right" vertical="center" wrapText="1"/>
    </xf>
    <xf numFmtId="38" fontId="14" fillId="11" borderId="1" xfId="4" applyFont="1" applyFill="1" applyBorder="1" applyAlignment="1">
      <alignment vertical="center" wrapText="1"/>
    </xf>
    <xf numFmtId="38" fontId="61" fillId="11" borderId="1" xfId="17" applyFont="1" applyFill="1" applyBorder="1" applyAlignment="1">
      <alignment horizontal="right" vertical="center" wrapText="1"/>
    </xf>
    <xf numFmtId="37" fontId="10" fillId="4" borderId="26" xfId="0" applyFont="1" applyFill="1" applyBorder="1"/>
    <xf numFmtId="37" fontId="10" fillId="0" borderId="1" xfId="0" applyFont="1" applyFill="1" applyBorder="1"/>
    <xf numFmtId="40" fontId="51" fillId="0" borderId="0" xfId="4" applyNumberFormat="1" applyFont="1" applyFill="1" applyBorder="1" applyAlignment="1">
      <alignment horizontal="right" vertical="center" wrapText="1"/>
    </xf>
    <xf numFmtId="38" fontId="51" fillId="0" borderId="1" xfId="4" applyFont="1" applyFill="1" applyBorder="1" applyAlignment="1">
      <alignment vertical="center" wrapText="1"/>
    </xf>
    <xf numFmtId="38" fontId="62" fillId="11" borderId="1" xfId="17" applyFont="1" applyFill="1" applyBorder="1" applyAlignment="1"/>
    <xf numFmtId="40" fontId="11" fillId="11" borderId="38" xfId="4" applyNumberFormat="1" applyFont="1" applyFill="1" applyBorder="1" applyAlignment="1">
      <alignment horizontal="right" vertical="center" wrapText="1"/>
    </xf>
    <xf numFmtId="38" fontId="11" fillId="0" borderId="30" xfId="17" applyFont="1" applyFill="1" applyBorder="1" applyAlignment="1">
      <alignment vertical="center" wrapText="1"/>
    </xf>
    <xf numFmtId="182" fontId="14" fillId="11" borderId="30" xfId="4" applyNumberFormat="1" applyFont="1" applyFill="1" applyBorder="1" applyAlignment="1">
      <alignment horizontal="right" vertical="center" wrapText="1"/>
    </xf>
    <xf numFmtId="38" fontId="14" fillId="0" borderId="1" xfId="4" applyFont="1" applyFill="1" applyBorder="1" applyAlignment="1">
      <alignment horizontal="left" vertical="center"/>
    </xf>
    <xf numFmtId="38" fontId="11" fillId="0" borderId="32" xfId="17" applyFont="1" applyFill="1" applyBorder="1" applyAlignment="1">
      <alignment vertical="center" wrapText="1"/>
    </xf>
    <xf numFmtId="38" fontId="8" fillId="11" borderId="37" xfId="17" applyFont="1" applyFill="1" applyBorder="1" applyAlignment="1"/>
    <xf numFmtId="38" fontId="63" fillId="5" borderId="0" xfId="17" applyFont="1" applyFill="1" applyAlignment="1"/>
    <xf numFmtId="37" fontId="0" fillId="5" borderId="0" xfId="0" applyFill="1"/>
    <xf numFmtId="38" fontId="24" fillId="0" borderId="2" xfId="4" applyFont="1" applyFill="1" applyBorder="1" applyAlignment="1">
      <alignment horizontal="left" vertical="center"/>
    </xf>
    <xf numFmtId="38" fontId="11" fillId="0" borderId="2" xfId="4" applyFont="1" applyFill="1" applyBorder="1" applyAlignment="1">
      <alignment horizontal="center" vertical="center" wrapText="1"/>
    </xf>
    <xf numFmtId="37" fontId="64" fillId="0" borderId="0" xfId="0" applyFont="1" applyAlignment="1">
      <alignment vertical="center"/>
    </xf>
    <xf numFmtId="37" fontId="65" fillId="0" borderId="0" xfId="0" applyFont="1" applyAlignment="1">
      <alignment vertical="center"/>
    </xf>
    <xf numFmtId="37" fontId="46" fillId="0" borderId="0" xfId="24" applyAlignment="1">
      <alignment vertical="center"/>
    </xf>
    <xf numFmtId="38" fontId="22" fillId="0" borderId="2" xfId="4" applyFont="1" applyFill="1" applyBorder="1" applyAlignment="1">
      <alignment horizontal="left" vertical="center"/>
    </xf>
    <xf numFmtId="182" fontId="28" fillId="5" borderId="3" xfId="4" applyNumberFormat="1" applyFont="1" applyFill="1" applyBorder="1" applyAlignment="1">
      <alignment vertical="center" wrapText="1"/>
    </xf>
    <xf numFmtId="38" fontId="11" fillId="11" borderId="2" xfId="17" applyFont="1" applyFill="1" applyBorder="1" applyAlignment="1">
      <alignment vertical="center" wrapText="1"/>
    </xf>
    <xf numFmtId="38" fontId="23" fillId="0" borderId="1" xfId="17" applyFont="1" applyFill="1" applyBorder="1" applyAlignment="1"/>
    <xf numFmtId="0" fontId="8" fillId="5" borderId="1" xfId="18" applyFill="1" applyBorder="1" applyAlignment="1">
      <alignment horizontal="center"/>
    </xf>
    <xf numFmtId="0" fontId="8" fillId="5" borderId="0" xfId="18" applyFill="1" applyAlignment="1">
      <alignment horizontal="center"/>
    </xf>
    <xf numFmtId="0" fontId="32" fillId="5" borderId="0" xfId="18" applyFont="1" applyFill="1" applyAlignment="1">
      <alignment horizontal="center"/>
    </xf>
    <xf numFmtId="0" fontId="8" fillId="0" borderId="1" xfId="18" applyFill="1" applyBorder="1" applyAlignment="1">
      <alignment horizontal="center"/>
    </xf>
    <xf numFmtId="0" fontId="8" fillId="4" borderId="1" xfId="18" applyFill="1" applyBorder="1" applyAlignment="1">
      <alignment horizontal="center"/>
    </xf>
    <xf numFmtId="37" fontId="10" fillId="3" borderId="4" xfId="0" applyFont="1" applyFill="1" applyBorder="1"/>
    <xf numFmtId="37" fontId="10" fillId="0" borderId="4" xfId="0" applyFont="1" applyBorder="1"/>
    <xf numFmtId="37" fontId="10" fillId="0" borderId="40" xfId="0" applyFont="1" applyBorder="1"/>
    <xf numFmtId="37" fontId="10" fillId="0" borderId="42" xfId="0" applyFont="1" applyBorder="1"/>
    <xf numFmtId="178" fontId="10" fillId="4" borderId="21" xfId="22" applyNumberFormat="1" applyFont="1" applyFill="1" applyBorder="1"/>
    <xf numFmtId="37" fontId="10" fillId="0" borderId="2" xfId="0" applyFont="1" applyBorder="1"/>
    <xf numFmtId="37" fontId="10" fillId="0" borderId="0" xfId="0" applyFont="1" applyBorder="1" applyAlignment="1">
      <alignment horizontal="right"/>
    </xf>
    <xf numFmtId="37" fontId="10" fillId="3" borderId="41" xfId="0" applyFont="1" applyFill="1" applyBorder="1" applyAlignment="1">
      <alignment horizontal="center"/>
    </xf>
    <xf numFmtId="37" fontId="10" fillId="3" borderId="39" xfId="0" applyFont="1" applyFill="1" applyBorder="1" applyAlignment="1">
      <alignment horizontal="center"/>
    </xf>
    <xf numFmtId="37" fontId="10" fillId="3" borderId="40" xfId="0" applyFont="1" applyFill="1" applyBorder="1"/>
    <xf numFmtId="37" fontId="10" fillId="0" borderId="3" xfId="0" applyFont="1" applyBorder="1"/>
    <xf numFmtId="37" fontId="10" fillId="3" borderId="45" xfId="0" applyFont="1" applyFill="1" applyBorder="1"/>
    <xf numFmtId="37" fontId="10" fillId="0" borderId="48" xfId="0" applyFont="1" applyBorder="1" applyAlignment="1">
      <alignment horizontal="right"/>
    </xf>
    <xf numFmtId="37" fontId="10" fillId="0" borderId="25" xfId="0" applyFont="1" applyBorder="1" applyAlignment="1">
      <alignment horizontal="right"/>
    </xf>
    <xf numFmtId="37" fontId="10" fillId="0" borderId="41" xfId="0" applyFont="1" applyBorder="1"/>
    <xf numFmtId="37" fontId="10" fillId="0" borderId="43" xfId="0" applyFont="1" applyBorder="1"/>
    <xf numFmtId="37" fontId="10" fillId="0" borderId="44" xfId="0" applyFont="1" applyBorder="1"/>
    <xf numFmtId="38" fontId="66" fillId="3" borderId="1" xfId="4" applyFont="1" applyFill="1" applyBorder="1" applyAlignment="1">
      <alignment vertical="center"/>
    </xf>
    <xf numFmtId="38" fontId="22" fillId="0" borderId="1" xfId="4" applyNumberFormat="1" applyFont="1" applyFill="1" applyBorder="1" applyAlignment="1">
      <alignment horizontal="left" vertical="center"/>
    </xf>
    <xf numFmtId="0" fontId="21" fillId="0" borderId="9" xfId="22" applyFill="1" applyBorder="1"/>
    <xf numFmtId="37" fontId="21" fillId="0" borderId="10" xfId="22" applyNumberFormat="1" applyFill="1" applyBorder="1"/>
    <xf numFmtId="37" fontId="21" fillId="0" borderId="1" xfId="22" applyNumberFormat="1" applyFill="1" applyBorder="1"/>
    <xf numFmtId="0" fontId="44" fillId="0" borderId="0" xfId="22" applyFont="1" applyAlignment="1">
      <alignment horizontal="left"/>
    </xf>
    <xf numFmtId="0" fontId="67" fillId="5" borderId="0" xfId="18" applyFont="1" applyFill="1"/>
    <xf numFmtId="37" fontId="21" fillId="11" borderId="10" xfId="22" applyNumberFormat="1" applyFill="1" applyBorder="1"/>
    <xf numFmtId="0" fontId="68" fillId="0" borderId="1" xfId="18" applyFont="1" applyFill="1" applyBorder="1"/>
    <xf numFmtId="0" fontId="69" fillId="5" borderId="0" xfId="18" applyFont="1" applyFill="1"/>
    <xf numFmtId="0" fontId="70" fillId="0" borderId="1" xfId="18" applyFont="1" applyFill="1" applyBorder="1"/>
    <xf numFmtId="38" fontId="22" fillId="4" borderId="2" xfId="4" applyFont="1" applyFill="1" applyBorder="1" applyAlignment="1">
      <alignment horizontal="left" vertical="center"/>
    </xf>
    <xf numFmtId="38" fontId="23" fillId="11" borderId="0" xfId="17" applyFont="1" applyFill="1" applyAlignment="1"/>
    <xf numFmtId="37" fontId="59" fillId="0" borderId="0" xfId="0" applyFont="1" applyFill="1" applyBorder="1"/>
    <xf numFmtId="38" fontId="49" fillId="0" borderId="0" xfId="6" applyFont="1" applyAlignment="1">
      <alignment horizontal="left" vertical="center"/>
    </xf>
    <xf numFmtId="0" fontId="11" fillId="2" borderId="1" xfId="12" applyFont="1" applyFill="1" applyBorder="1">
      <alignment vertical="center"/>
    </xf>
    <xf numFmtId="0" fontId="18" fillId="2" borderId="1" xfId="12" applyFont="1" applyFill="1" applyBorder="1">
      <alignment vertical="center"/>
    </xf>
    <xf numFmtId="38" fontId="11" fillId="11" borderId="3" xfId="17" applyFont="1" applyFill="1" applyBorder="1" applyAlignment="1">
      <alignment vertical="center" wrapText="1"/>
    </xf>
    <xf numFmtId="182" fontId="11" fillId="0" borderId="2" xfId="4" applyNumberFormat="1" applyFont="1" applyFill="1" applyBorder="1" applyAlignment="1">
      <alignment vertical="center" wrapText="1"/>
    </xf>
    <xf numFmtId="182" fontId="22" fillId="0" borderId="2" xfId="4" applyNumberFormat="1" applyFont="1" applyFill="1" applyBorder="1" applyAlignment="1">
      <alignment horizontal="left" vertical="center" wrapText="1"/>
    </xf>
    <xf numFmtId="182" fontId="11" fillId="0" borderId="2" xfId="4" applyNumberFormat="1" applyFont="1" applyFill="1" applyBorder="1" applyAlignment="1">
      <alignment horizontal="center" vertical="center" wrapText="1"/>
    </xf>
    <xf numFmtId="38" fontId="11" fillId="0" borderId="2" xfId="17" applyFont="1" applyFill="1" applyBorder="1" applyAlignment="1">
      <alignment vertical="center" wrapText="1"/>
    </xf>
    <xf numFmtId="176" fontId="11" fillId="4" borderId="1" xfId="6" applyNumberFormat="1" applyFont="1" applyFill="1" applyBorder="1" applyAlignment="1">
      <alignment vertical="center"/>
    </xf>
    <xf numFmtId="38" fontId="11" fillId="0" borderId="1" xfId="6" applyFont="1" applyBorder="1" applyAlignment="1">
      <alignment vertical="center"/>
    </xf>
    <xf numFmtId="0" fontId="11" fillId="0" borderId="7" xfId="12" applyBorder="1">
      <alignment vertical="center"/>
    </xf>
    <xf numFmtId="38" fontId="11" fillId="0" borderId="4" xfId="6" applyFont="1" applyBorder="1" applyAlignment="1">
      <alignment vertical="center"/>
    </xf>
    <xf numFmtId="0" fontId="11" fillId="0" borderId="9" xfId="12" applyBorder="1">
      <alignment vertical="center"/>
    </xf>
    <xf numFmtId="0" fontId="22" fillId="0" borderId="7" xfId="12" applyFont="1" applyBorder="1">
      <alignment vertical="center"/>
    </xf>
    <xf numFmtId="38" fontId="11" fillId="0" borderId="0" xfId="6" applyFont="1" applyBorder="1" applyAlignment="1">
      <alignment vertical="center"/>
    </xf>
    <xf numFmtId="176" fontId="11" fillId="0" borderId="1" xfId="12" applyNumberFormat="1" applyBorder="1">
      <alignment vertical="center"/>
    </xf>
    <xf numFmtId="176" fontId="11" fillId="0" borderId="1" xfId="6" applyNumberFormat="1" applyFont="1" applyBorder="1" applyAlignment="1">
      <alignment vertical="center"/>
    </xf>
    <xf numFmtId="38" fontId="47" fillId="3" borderId="1" xfId="6" applyFont="1" applyFill="1" applyBorder="1" applyAlignment="1">
      <alignment vertical="center"/>
    </xf>
    <xf numFmtId="38" fontId="47" fillId="0" borderId="1" xfId="6" applyFont="1" applyBorder="1" applyAlignment="1">
      <alignment vertical="center"/>
    </xf>
    <xf numFmtId="0" fontId="47" fillId="3" borderId="16" xfId="12" applyFont="1" applyFill="1" applyBorder="1">
      <alignment vertical="center"/>
    </xf>
    <xf numFmtId="37" fontId="71" fillId="0" borderId="0" xfId="0" applyFont="1" applyAlignment="1">
      <alignment vertical="center"/>
    </xf>
    <xf numFmtId="37" fontId="72" fillId="0" borderId="0" xfId="0" applyFont="1" applyAlignment="1">
      <alignment vertical="center"/>
    </xf>
    <xf numFmtId="0" fontId="74" fillId="0" borderId="0" xfId="12" applyFont="1">
      <alignment vertical="center"/>
    </xf>
    <xf numFmtId="38" fontId="13" fillId="0" borderId="0" xfId="6" applyFont="1" applyAlignment="1">
      <alignment vertical="center"/>
    </xf>
    <xf numFmtId="0" fontId="73" fillId="4" borderId="1" xfId="12" applyFont="1" applyFill="1" applyBorder="1" applyAlignment="1">
      <alignment vertical="center"/>
    </xf>
    <xf numFmtId="0" fontId="8" fillId="0" borderId="1" xfId="18" applyBorder="1"/>
    <xf numFmtId="38" fontId="8" fillId="11" borderId="1" xfId="17" applyFont="1" applyFill="1" applyBorder="1" applyAlignment="1"/>
    <xf numFmtId="0" fontId="76" fillId="5" borderId="1" xfId="18" applyFont="1" applyFill="1" applyBorder="1" applyAlignment="1">
      <alignment horizontal="left"/>
    </xf>
    <xf numFmtId="0" fontId="13" fillId="0" borderId="0" xfId="12" applyFont="1" applyAlignment="1">
      <alignment vertical="center"/>
    </xf>
    <xf numFmtId="0" fontId="47" fillId="3" borderId="1" xfId="12" applyFont="1" applyFill="1" applyBorder="1">
      <alignment vertical="center"/>
    </xf>
    <xf numFmtId="38" fontId="16" fillId="0" borderId="0" xfId="6" applyFont="1" applyBorder="1" applyAlignment="1">
      <alignment vertical="center"/>
    </xf>
    <xf numFmtId="37" fontId="10" fillId="3" borderId="46" xfId="0" applyFont="1" applyFill="1" applyBorder="1" applyAlignment="1">
      <alignment vertical="center"/>
    </xf>
    <xf numFmtId="37" fontId="10" fillId="0" borderId="47" xfId="0" applyFont="1" applyBorder="1" applyAlignment="1">
      <alignment vertical="center"/>
    </xf>
    <xf numFmtId="0" fontId="11" fillId="0" borderId="0" xfId="12" applyAlignment="1">
      <alignment horizontal="center" vertical="center" wrapText="1"/>
    </xf>
    <xf numFmtId="0" fontId="8" fillId="0" borderId="0" xfId="18" applyAlignment="1">
      <alignment horizontal="center" vertical="center" wrapText="1"/>
    </xf>
    <xf numFmtId="0" fontId="11" fillId="3" borderId="1" xfId="12" applyFill="1" applyBorder="1" applyAlignment="1">
      <alignment horizontal="center" vertical="center" wrapText="1"/>
    </xf>
    <xf numFmtId="0" fontId="8" fillId="3" borderId="1" xfId="18" applyFill="1" applyBorder="1" applyAlignment="1">
      <alignment vertical="center" wrapText="1"/>
    </xf>
    <xf numFmtId="38" fontId="11" fillId="3" borderId="4" xfId="6" applyFont="1" applyFill="1" applyBorder="1" applyAlignment="1">
      <alignment horizontal="center" vertical="center"/>
    </xf>
    <xf numFmtId="0" fontId="8" fillId="3" borderId="1" xfId="18" applyFill="1" applyBorder="1" applyAlignment="1">
      <alignment horizontal="center" vertical="center"/>
    </xf>
    <xf numFmtId="0" fontId="11" fillId="3" borderId="4" xfId="12" applyFill="1" applyBorder="1" applyAlignment="1">
      <alignment horizontal="center" vertical="center" wrapText="1"/>
    </xf>
    <xf numFmtId="0" fontId="8" fillId="3" borderId="4" xfId="18" applyFill="1" applyBorder="1" applyAlignment="1">
      <alignment horizontal="center" vertical="center" wrapText="1"/>
    </xf>
    <xf numFmtId="0" fontId="11" fillId="4" borderId="7" xfId="12" applyFill="1" applyBorder="1" applyAlignment="1">
      <alignment horizontal="center" vertical="center" wrapText="1"/>
    </xf>
    <xf numFmtId="37" fontId="0" fillId="0" borderId="4" xfId="0" applyBorder="1" applyAlignment="1">
      <alignment horizontal="center" vertical="center" wrapText="1"/>
    </xf>
    <xf numFmtId="0" fontId="8" fillId="0" borderId="3" xfId="18" applyFill="1" applyBorder="1" applyAlignment="1">
      <alignment horizontal="center" vertical="center" wrapText="1"/>
    </xf>
    <xf numFmtId="37" fontId="0" fillId="0" borderId="18" xfId="0" applyBorder="1" applyAlignment="1">
      <alignment horizontal="center" vertical="center" wrapText="1"/>
    </xf>
    <xf numFmtId="37" fontId="0" fillId="0" borderId="2" xfId="0" applyBorder="1" applyAlignment="1">
      <alignment horizontal="center" vertical="center" wrapText="1"/>
    </xf>
  </cellXfs>
  <cellStyles count="25">
    <cellStyle name="たいむず" xfId="1"/>
    <cellStyle name="パーセント" xfId="23" builtinId="5"/>
    <cellStyle name="パーセント 2" xfId="2"/>
    <cellStyle name="ハイパーリンク" xfId="24" builtinId="8"/>
    <cellStyle name="ハイパーリンク 2" xfId="3"/>
    <cellStyle name="桁区切り" xfId="17" builtinId="6"/>
    <cellStyle name="桁区切り 2" xfId="4"/>
    <cellStyle name="桁区切り 2 2" xfId="5"/>
    <cellStyle name="桁区切り 2 2 2" xfId="6"/>
    <cellStyle name="桁区切り 3" xfId="7"/>
    <cellStyle name="桁区切り 4" xfId="16"/>
    <cellStyle name="桁区切り 5" xfId="21"/>
    <cellStyle name="標準" xfId="0" builtinId="0"/>
    <cellStyle name="標準 2" xfId="8"/>
    <cellStyle name="標準 2 2" xfId="9"/>
    <cellStyle name="標準 2 3" xfId="22"/>
    <cellStyle name="標準 3" xfId="10"/>
    <cellStyle name="標準 3 2" xfId="11"/>
    <cellStyle name="標準 3 3" xfId="12"/>
    <cellStyle name="標準 4" xfId="13"/>
    <cellStyle name="標準 4 2" xfId="19"/>
    <cellStyle name="標準 5" xfId="14"/>
    <cellStyle name="標準 6" xfId="15"/>
    <cellStyle name="標準 7" xfId="18"/>
    <cellStyle name="標準 8" xfId="2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04036310666887"/>
          <c:y val="2.3220947320444794E-2"/>
          <c:w val="0.86013602981481774"/>
          <c:h val="0.45100160697087333"/>
        </c:manualLayout>
      </c:layout>
      <c:barChart>
        <c:barDir val="col"/>
        <c:grouping val="stacked"/>
        <c:varyColors val="0"/>
        <c:ser>
          <c:idx val="0"/>
          <c:order val="1"/>
          <c:tx>
            <c:strRef>
              <c:f>⑥シミュレーション!$B$107</c:f>
              <c:strCache>
                <c:ptCount val="1"/>
                <c:pt idx="0">
                  <c:v>借入金返済額</c:v>
                </c:pt>
              </c:strCache>
            </c:strRef>
          </c:tx>
          <c:spPr>
            <a:solidFill>
              <a:schemeClr val="bg1">
                <a:lumMod val="75000"/>
              </a:schemeClr>
            </a:solidFill>
            <a:ln w="6350">
              <a:solidFill>
                <a:schemeClr val="tx1"/>
              </a:solidFill>
            </a:ln>
          </c:spPr>
          <c:invertIfNegative val="0"/>
          <c:cat>
            <c:multiLvlStrRef>
              <c:f>⑥シミュレーション!$D$3:$N$4</c:f>
              <c:multiLvlStrCache>
                <c:ptCount val="11"/>
                <c:lvl>
                  <c:pt idx="1">
                    <c:v>35</c:v>
                  </c:pt>
                  <c:pt idx="2">
                    <c:v>36</c:v>
                  </c:pt>
                  <c:pt idx="3">
                    <c:v>37</c:v>
                  </c:pt>
                  <c:pt idx="4">
                    <c:v>38</c:v>
                  </c:pt>
                  <c:pt idx="5">
                    <c:v>39</c:v>
                  </c:pt>
                  <c:pt idx="6">
                    <c:v>40</c:v>
                  </c:pt>
                  <c:pt idx="7">
                    <c:v>41</c:v>
                  </c:pt>
                  <c:pt idx="8">
                    <c:v>42</c:v>
                  </c:pt>
                  <c:pt idx="9">
                    <c:v>43</c:v>
                  </c:pt>
                  <c:pt idx="10">
                    <c:v>44</c:v>
                  </c:pt>
                </c:lvl>
                <c:lvl>
                  <c:pt idx="1">
                    <c:v>1</c:v>
                  </c:pt>
                  <c:pt idx="2">
                    <c:v>2</c:v>
                  </c:pt>
                  <c:pt idx="3">
                    <c:v>3</c:v>
                  </c:pt>
                  <c:pt idx="4">
                    <c:v>4</c:v>
                  </c:pt>
                  <c:pt idx="5">
                    <c:v>5</c:v>
                  </c:pt>
                  <c:pt idx="6">
                    <c:v>6</c:v>
                  </c:pt>
                  <c:pt idx="7">
                    <c:v>7</c:v>
                  </c:pt>
                  <c:pt idx="8">
                    <c:v>8</c:v>
                  </c:pt>
                  <c:pt idx="9">
                    <c:v>9</c:v>
                  </c:pt>
                  <c:pt idx="10">
                    <c:v>10</c:v>
                  </c:pt>
                </c:lvl>
              </c:multiLvlStrCache>
            </c:multiLvlStrRef>
          </c:cat>
          <c:val>
            <c:numRef>
              <c:f>⑥シミュレーション!$D$107:$N$107</c:f>
              <c:numCache>
                <c:formatCode>#,##0_);[Red]\(#,##0\)</c:formatCode>
                <c:ptCount val="11"/>
                <c:pt idx="1">
                  <c:v>-495.12599999999998</c:v>
                </c:pt>
                <c:pt idx="2">
                  <c:v>-990.25199999999995</c:v>
                </c:pt>
                <c:pt idx="3">
                  <c:v>-990.25199999999995</c:v>
                </c:pt>
                <c:pt idx="4">
                  <c:v>-990.25199999999995</c:v>
                </c:pt>
                <c:pt idx="5">
                  <c:v>-990.25199999999995</c:v>
                </c:pt>
                <c:pt idx="6">
                  <c:v>-990.25199999999995</c:v>
                </c:pt>
                <c:pt idx="7">
                  <c:v>-990.25199999999995</c:v>
                </c:pt>
                <c:pt idx="8">
                  <c:v>-990.25199999999995</c:v>
                </c:pt>
                <c:pt idx="9">
                  <c:v>-990.25199999999995</c:v>
                </c:pt>
                <c:pt idx="10">
                  <c:v>-990.25199999999995</c:v>
                </c:pt>
              </c:numCache>
            </c:numRef>
          </c:val>
          <c:extLst xmlns:c16r2="http://schemas.microsoft.com/office/drawing/2015/06/chart">
            <c:ext xmlns:c16="http://schemas.microsoft.com/office/drawing/2014/chart" uri="{C3380CC4-5D6E-409C-BE32-E72D297353CC}">
              <c16:uniqueId val="{00000000-8A89-484B-855E-0994A97767FB}"/>
            </c:ext>
          </c:extLst>
        </c:ser>
        <c:ser>
          <c:idx val="4"/>
          <c:order val="3"/>
          <c:tx>
            <c:strRef>
              <c:f>⑥シミュレーション!$B$55</c:f>
              <c:strCache>
                <c:ptCount val="1"/>
                <c:pt idx="0">
                  <c:v>償却前経常利益</c:v>
                </c:pt>
              </c:strCache>
            </c:strRef>
          </c:tx>
          <c:spPr>
            <a:solidFill>
              <a:schemeClr val="accent6">
                <a:lumMod val="40000"/>
                <a:lumOff val="60000"/>
              </a:schemeClr>
            </a:solidFill>
            <a:ln>
              <a:solidFill>
                <a:srgbClr val="C00000"/>
              </a:solidFill>
              <a:prstDash val="sysDash"/>
            </a:ln>
          </c:spPr>
          <c:invertIfNegative val="0"/>
          <c:cat>
            <c:multiLvlStrRef>
              <c:f>⑥シミュレーション!$D$3:$N$4</c:f>
              <c:multiLvlStrCache>
                <c:ptCount val="11"/>
                <c:lvl>
                  <c:pt idx="1">
                    <c:v>35</c:v>
                  </c:pt>
                  <c:pt idx="2">
                    <c:v>36</c:v>
                  </c:pt>
                  <c:pt idx="3">
                    <c:v>37</c:v>
                  </c:pt>
                  <c:pt idx="4">
                    <c:v>38</c:v>
                  </c:pt>
                  <c:pt idx="5">
                    <c:v>39</c:v>
                  </c:pt>
                  <c:pt idx="6">
                    <c:v>40</c:v>
                  </c:pt>
                  <c:pt idx="7">
                    <c:v>41</c:v>
                  </c:pt>
                  <c:pt idx="8">
                    <c:v>42</c:v>
                  </c:pt>
                  <c:pt idx="9">
                    <c:v>43</c:v>
                  </c:pt>
                  <c:pt idx="10">
                    <c:v>44</c:v>
                  </c:pt>
                </c:lvl>
                <c:lvl>
                  <c:pt idx="1">
                    <c:v>1</c:v>
                  </c:pt>
                  <c:pt idx="2">
                    <c:v>2</c:v>
                  </c:pt>
                  <c:pt idx="3">
                    <c:v>3</c:v>
                  </c:pt>
                  <c:pt idx="4">
                    <c:v>4</c:v>
                  </c:pt>
                  <c:pt idx="5">
                    <c:v>5</c:v>
                  </c:pt>
                  <c:pt idx="6">
                    <c:v>6</c:v>
                  </c:pt>
                  <c:pt idx="7">
                    <c:v>7</c:v>
                  </c:pt>
                  <c:pt idx="8">
                    <c:v>8</c:v>
                  </c:pt>
                  <c:pt idx="9">
                    <c:v>9</c:v>
                  </c:pt>
                  <c:pt idx="10">
                    <c:v>10</c:v>
                  </c:pt>
                </c:lvl>
              </c:multiLvlStrCache>
            </c:multiLvlStrRef>
          </c:cat>
          <c:val>
            <c:numRef>
              <c:f>⑥シミュレーション!$D$55:$N$55</c:f>
              <c:numCache>
                <c:formatCode>#,##0_);[Red]\(#,##0\)</c:formatCode>
                <c:ptCount val="11"/>
                <c:pt idx="1">
                  <c:v>-1232.4260000000008</c:v>
                </c:pt>
                <c:pt idx="2">
                  <c:v>616.93699999999762</c:v>
                </c:pt>
                <c:pt idx="3">
                  <c:v>1324.0860000000011</c:v>
                </c:pt>
                <c:pt idx="4">
                  <c:v>1721.9300000000003</c:v>
                </c:pt>
                <c:pt idx="5">
                  <c:v>2192.6549999999988</c:v>
                </c:pt>
                <c:pt idx="6">
                  <c:v>1841.1559999999986</c:v>
                </c:pt>
                <c:pt idx="7">
                  <c:v>2466.322999999999</c:v>
                </c:pt>
                <c:pt idx="8">
                  <c:v>3230.4850000000006</c:v>
                </c:pt>
                <c:pt idx="9">
                  <c:v>4203.1380000000008</c:v>
                </c:pt>
                <c:pt idx="10">
                  <c:v>5488.5339999999978</c:v>
                </c:pt>
              </c:numCache>
            </c:numRef>
          </c:val>
          <c:extLst xmlns:c16r2="http://schemas.microsoft.com/office/drawing/2015/06/chart">
            <c:ext xmlns:c16="http://schemas.microsoft.com/office/drawing/2014/chart" uri="{C3380CC4-5D6E-409C-BE32-E72D297353CC}">
              <c16:uniqueId val="{00000004-8A89-484B-855E-0994A97767FB}"/>
            </c:ext>
          </c:extLst>
        </c:ser>
        <c:ser>
          <c:idx val="1"/>
          <c:order val="4"/>
          <c:tx>
            <c:strRef>
              <c:f>⑥シミュレーション!$B$106</c:f>
              <c:strCache>
                <c:ptCount val="1"/>
                <c:pt idx="0">
                  <c:v>事業主へ</c:v>
                </c:pt>
              </c:strCache>
            </c:strRef>
          </c:tx>
          <c:spPr>
            <a:noFill/>
            <a:ln w="12700">
              <a:solidFill>
                <a:srgbClr val="FF0000"/>
              </a:solidFill>
            </a:ln>
          </c:spPr>
          <c:invertIfNegative val="0"/>
          <c:cat>
            <c:multiLvlStrRef>
              <c:f>⑥シミュレーション!$D$3:$N$4</c:f>
              <c:multiLvlStrCache>
                <c:ptCount val="11"/>
                <c:lvl>
                  <c:pt idx="1">
                    <c:v>35</c:v>
                  </c:pt>
                  <c:pt idx="2">
                    <c:v>36</c:v>
                  </c:pt>
                  <c:pt idx="3">
                    <c:v>37</c:v>
                  </c:pt>
                  <c:pt idx="4">
                    <c:v>38</c:v>
                  </c:pt>
                  <c:pt idx="5">
                    <c:v>39</c:v>
                  </c:pt>
                  <c:pt idx="6">
                    <c:v>40</c:v>
                  </c:pt>
                  <c:pt idx="7">
                    <c:v>41</c:v>
                  </c:pt>
                  <c:pt idx="8">
                    <c:v>42</c:v>
                  </c:pt>
                  <c:pt idx="9">
                    <c:v>43</c:v>
                  </c:pt>
                  <c:pt idx="10">
                    <c:v>44</c:v>
                  </c:pt>
                </c:lvl>
                <c:lvl>
                  <c:pt idx="1">
                    <c:v>1</c:v>
                  </c:pt>
                  <c:pt idx="2">
                    <c:v>2</c:v>
                  </c:pt>
                  <c:pt idx="3">
                    <c:v>3</c:v>
                  </c:pt>
                  <c:pt idx="4">
                    <c:v>4</c:v>
                  </c:pt>
                  <c:pt idx="5">
                    <c:v>5</c:v>
                  </c:pt>
                  <c:pt idx="6">
                    <c:v>6</c:v>
                  </c:pt>
                  <c:pt idx="7">
                    <c:v>7</c:v>
                  </c:pt>
                  <c:pt idx="8">
                    <c:v>8</c:v>
                  </c:pt>
                  <c:pt idx="9">
                    <c:v>9</c:v>
                  </c:pt>
                  <c:pt idx="10">
                    <c:v>10</c:v>
                  </c:pt>
                </c:lvl>
              </c:multiLvlStrCache>
            </c:multiLvlStrRef>
          </c:cat>
          <c:val>
            <c:numRef>
              <c:f>⑥シミュレーション!$D$106:$N$106</c:f>
              <c:numCache>
                <c:formatCode>#,##0_);[Red]\(#,##0\)</c:formatCode>
                <c:ptCount val="11"/>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8A89-484B-855E-0994A97767FB}"/>
            </c:ext>
          </c:extLst>
        </c:ser>
        <c:dLbls>
          <c:showLegendKey val="0"/>
          <c:showVal val="0"/>
          <c:showCatName val="0"/>
          <c:showSerName val="0"/>
          <c:showPercent val="0"/>
          <c:showBubbleSize val="0"/>
        </c:dLbls>
        <c:gapWidth val="150"/>
        <c:overlap val="100"/>
        <c:axId val="213876224"/>
        <c:axId val="190723712"/>
      </c:barChart>
      <c:lineChart>
        <c:grouping val="standard"/>
        <c:varyColors val="0"/>
        <c:ser>
          <c:idx val="2"/>
          <c:order val="0"/>
          <c:tx>
            <c:strRef>
              <c:f>⑥シミュレーション!$B$105</c:f>
              <c:strCache>
                <c:ptCount val="1"/>
                <c:pt idx="0">
                  <c:v>借入金総額(現+新)</c:v>
                </c:pt>
              </c:strCache>
            </c:strRef>
          </c:tx>
          <c:spPr>
            <a:ln>
              <a:solidFill>
                <a:schemeClr val="tx1"/>
              </a:solidFill>
              <a:prstDash val="sysDash"/>
            </a:ln>
          </c:spPr>
          <c:marker>
            <c:symbol val="none"/>
          </c:marker>
          <c:cat>
            <c:multiLvlStrRef>
              <c:f>⑥シミュレーション!$D$3:$N$4</c:f>
              <c:multiLvlStrCache>
                <c:ptCount val="11"/>
                <c:lvl>
                  <c:pt idx="1">
                    <c:v>35</c:v>
                  </c:pt>
                  <c:pt idx="2">
                    <c:v>36</c:v>
                  </c:pt>
                  <c:pt idx="3">
                    <c:v>37</c:v>
                  </c:pt>
                  <c:pt idx="4">
                    <c:v>38</c:v>
                  </c:pt>
                  <c:pt idx="5">
                    <c:v>39</c:v>
                  </c:pt>
                  <c:pt idx="6">
                    <c:v>40</c:v>
                  </c:pt>
                  <c:pt idx="7">
                    <c:v>41</c:v>
                  </c:pt>
                  <c:pt idx="8">
                    <c:v>42</c:v>
                  </c:pt>
                  <c:pt idx="9">
                    <c:v>43</c:v>
                  </c:pt>
                  <c:pt idx="10">
                    <c:v>44</c:v>
                  </c:pt>
                </c:lvl>
                <c:lvl>
                  <c:pt idx="1">
                    <c:v>1</c:v>
                  </c:pt>
                  <c:pt idx="2">
                    <c:v>2</c:v>
                  </c:pt>
                  <c:pt idx="3">
                    <c:v>3</c:v>
                  </c:pt>
                  <c:pt idx="4">
                    <c:v>4</c:v>
                  </c:pt>
                  <c:pt idx="5">
                    <c:v>5</c:v>
                  </c:pt>
                  <c:pt idx="6">
                    <c:v>6</c:v>
                  </c:pt>
                  <c:pt idx="7">
                    <c:v>7</c:v>
                  </c:pt>
                  <c:pt idx="8">
                    <c:v>8</c:v>
                  </c:pt>
                  <c:pt idx="9">
                    <c:v>9</c:v>
                  </c:pt>
                  <c:pt idx="10">
                    <c:v>10</c:v>
                  </c:pt>
                </c:lvl>
              </c:multiLvlStrCache>
            </c:multiLvlStrRef>
          </c:cat>
          <c:val>
            <c:numRef>
              <c:f>⑥シミュレーション!$D$105:$N$105</c:f>
              <c:numCache>
                <c:formatCode>#,##0_);[Red]\(#,##0\)</c:formatCode>
                <c:ptCount val="11"/>
                <c:pt idx="1">
                  <c:v>10186.681628865979</c:v>
                </c:pt>
                <c:pt idx="2">
                  <c:v>9393.2718671484781</c:v>
                </c:pt>
                <c:pt idx="3">
                  <c:v>8403.0198671484777</c:v>
                </c:pt>
                <c:pt idx="4">
                  <c:v>11230.502478335617</c:v>
                </c:pt>
                <c:pt idx="5">
                  <c:v>10240.250478335616</c:v>
                </c:pt>
                <c:pt idx="6">
                  <c:v>9249.9984783356158</c:v>
                </c:pt>
                <c:pt idx="7">
                  <c:v>8259.7464783356154</c:v>
                </c:pt>
                <c:pt idx="8">
                  <c:v>7269.4944783356159</c:v>
                </c:pt>
                <c:pt idx="9">
                  <c:v>6279.2424783356164</c:v>
                </c:pt>
                <c:pt idx="10">
                  <c:v>5288.990478335616</c:v>
                </c:pt>
              </c:numCache>
            </c:numRef>
          </c:val>
          <c:smooth val="0"/>
          <c:extLst xmlns:c16r2="http://schemas.microsoft.com/office/drawing/2015/06/chart">
            <c:ext xmlns:c16="http://schemas.microsoft.com/office/drawing/2014/chart" uri="{C3380CC4-5D6E-409C-BE32-E72D297353CC}">
              <c16:uniqueId val="{00000002-8A89-484B-855E-0994A97767FB}"/>
            </c:ext>
          </c:extLst>
        </c:ser>
        <c:ser>
          <c:idx val="3"/>
          <c:order val="2"/>
          <c:tx>
            <c:strRef>
              <c:f>⑥シミュレーション!$B$101</c:f>
              <c:strCache>
                <c:ptCount val="1"/>
                <c:pt idx="0">
                  <c:v>純資産</c:v>
                </c:pt>
              </c:strCache>
            </c:strRef>
          </c:tx>
          <c:spPr>
            <a:ln>
              <a:solidFill>
                <a:srgbClr val="FF0000"/>
              </a:solidFill>
            </a:ln>
          </c:spPr>
          <c:marker>
            <c:symbol val="none"/>
          </c:marker>
          <c:cat>
            <c:multiLvlStrRef>
              <c:f>⑥シミュレーション!$D$3:$N$4</c:f>
              <c:multiLvlStrCache>
                <c:ptCount val="11"/>
                <c:lvl>
                  <c:pt idx="1">
                    <c:v>35</c:v>
                  </c:pt>
                  <c:pt idx="2">
                    <c:v>36</c:v>
                  </c:pt>
                  <c:pt idx="3">
                    <c:v>37</c:v>
                  </c:pt>
                  <c:pt idx="4">
                    <c:v>38</c:v>
                  </c:pt>
                  <c:pt idx="5">
                    <c:v>39</c:v>
                  </c:pt>
                  <c:pt idx="6">
                    <c:v>40</c:v>
                  </c:pt>
                  <c:pt idx="7">
                    <c:v>41</c:v>
                  </c:pt>
                  <c:pt idx="8">
                    <c:v>42</c:v>
                  </c:pt>
                  <c:pt idx="9">
                    <c:v>43</c:v>
                  </c:pt>
                  <c:pt idx="10">
                    <c:v>44</c:v>
                  </c:pt>
                </c:lvl>
                <c:lvl>
                  <c:pt idx="1">
                    <c:v>1</c:v>
                  </c:pt>
                  <c:pt idx="2">
                    <c:v>2</c:v>
                  </c:pt>
                  <c:pt idx="3">
                    <c:v>3</c:v>
                  </c:pt>
                  <c:pt idx="4">
                    <c:v>4</c:v>
                  </c:pt>
                  <c:pt idx="5">
                    <c:v>5</c:v>
                  </c:pt>
                  <c:pt idx="6">
                    <c:v>6</c:v>
                  </c:pt>
                  <c:pt idx="7">
                    <c:v>7</c:v>
                  </c:pt>
                  <c:pt idx="8">
                    <c:v>8</c:v>
                  </c:pt>
                  <c:pt idx="9">
                    <c:v>9</c:v>
                  </c:pt>
                  <c:pt idx="10">
                    <c:v>10</c:v>
                  </c:pt>
                </c:lvl>
              </c:multiLvlStrCache>
            </c:multiLvlStrRef>
          </c:cat>
          <c:val>
            <c:numRef>
              <c:f>⑥シミュレーション!$D$101:$N$101</c:f>
              <c:numCache>
                <c:formatCode>#,##0_);[Red]\(#,##0\)</c:formatCode>
                <c:ptCount val="11"/>
                <c:pt idx="1">
                  <c:v>-342.42600000000084</c:v>
                </c:pt>
                <c:pt idx="2">
                  <c:v>-803.48900000000322</c:v>
                </c:pt>
                <c:pt idx="3">
                  <c:v>-551.40300000000195</c:v>
                </c:pt>
                <c:pt idx="4">
                  <c:v>-16.473000000001662</c:v>
                </c:pt>
                <c:pt idx="5">
                  <c:v>1104.1819999999971</c:v>
                </c:pt>
                <c:pt idx="6">
                  <c:v>2243.3379999999956</c:v>
                </c:pt>
                <c:pt idx="7">
                  <c:v>4127.6609999999946</c:v>
                </c:pt>
                <c:pt idx="8">
                  <c:v>6791.1459999999952</c:v>
                </c:pt>
                <c:pt idx="9">
                  <c:v>10481.283999999996</c:v>
                </c:pt>
                <c:pt idx="10">
                  <c:v>15456.817999999994</c:v>
                </c:pt>
              </c:numCache>
            </c:numRef>
          </c:val>
          <c:smooth val="0"/>
          <c:extLst xmlns:c16r2="http://schemas.microsoft.com/office/drawing/2015/06/chart">
            <c:ext xmlns:c16="http://schemas.microsoft.com/office/drawing/2014/chart" uri="{C3380CC4-5D6E-409C-BE32-E72D297353CC}">
              <c16:uniqueId val="{00000003-8A89-484B-855E-0994A97767FB}"/>
            </c:ext>
          </c:extLst>
        </c:ser>
        <c:dLbls>
          <c:showLegendKey val="0"/>
          <c:showVal val="0"/>
          <c:showCatName val="0"/>
          <c:showSerName val="0"/>
          <c:showPercent val="0"/>
          <c:showBubbleSize val="0"/>
        </c:dLbls>
        <c:marker val="1"/>
        <c:smooth val="0"/>
        <c:axId val="213876224"/>
        <c:axId val="190723712"/>
      </c:lineChart>
      <c:catAx>
        <c:axId val="213876224"/>
        <c:scaling>
          <c:orientation val="minMax"/>
        </c:scaling>
        <c:delete val="0"/>
        <c:axPos val="b"/>
        <c:numFmt formatCode="General" sourceLinked="1"/>
        <c:majorTickMark val="none"/>
        <c:minorTickMark val="none"/>
        <c:tickLblPos val="nextTo"/>
        <c:spPr>
          <a:solidFill>
            <a:schemeClr val="tx1"/>
          </a:solidFill>
          <a:ln w="15875">
            <a:solidFill>
              <a:schemeClr val="tx1"/>
            </a:solidFill>
          </a:ln>
        </c:spPr>
        <c:crossAx val="190723712"/>
        <c:crosses val="autoZero"/>
        <c:auto val="1"/>
        <c:lblAlgn val="ctr"/>
        <c:lblOffset val="100"/>
        <c:noMultiLvlLbl val="0"/>
      </c:catAx>
      <c:valAx>
        <c:axId val="190723712"/>
        <c:scaling>
          <c:orientation val="minMax"/>
        </c:scaling>
        <c:delete val="0"/>
        <c:axPos val="l"/>
        <c:majorGridlines/>
        <c:title>
          <c:tx>
            <c:rich>
              <a:bodyPr/>
              <a:lstStyle/>
              <a:p>
                <a:pPr>
                  <a:defRPr/>
                </a:pPr>
                <a:r>
                  <a:rPr lang="ja-JP" altLang="en-US"/>
                  <a:t>単位：千円</a:t>
                </a:r>
              </a:p>
            </c:rich>
          </c:tx>
          <c:layout/>
          <c:overlay val="0"/>
        </c:title>
        <c:numFmt formatCode="#,##0_);[Red]\(#,##0\)" sourceLinked="1"/>
        <c:majorTickMark val="none"/>
        <c:minorTickMark val="none"/>
        <c:tickLblPos val="nextTo"/>
        <c:crossAx val="213876224"/>
        <c:crosses val="autoZero"/>
        <c:crossBetween val="between"/>
      </c:valAx>
      <c:dTable>
        <c:showHorzBorder val="1"/>
        <c:showVertBorder val="1"/>
        <c:showOutline val="1"/>
        <c:showKeys val="1"/>
      </c:dTable>
    </c:plotArea>
    <c:plotVisOnly val="1"/>
    <c:dispBlanksAs val="gap"/>
    <c:showDLblsOverMax val="0"/>
  </c:chart>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568036</xdr:colOff>
      <xdr:row>0</xdr:row>
      <xdr:rowOff>180106</xdr:rowOff>
    </xdr:from>
    <xdr:to>
      <xdr:col>6</xdr:col>
      <xdr:colOff>720436</xdr:colOff>
      <xdr:row>49</xdr:row>
      <xdr:rowOff>132216</xdr:rowOff>
    </xdr:to>
    <xdr:pic>
      <xdr:nvPicPr>
        <xdr:cNvPr id="10" name="図 9">
          <a:extLst>
            <a:ext uri="{FF2B5EF4-FFF2-40B4-BE49-F238E27FC236}">
              <a16:creationId xmlns:a16="http://schemas.microsoft.com/office/drawing/2014/main" xmlns="" id="{99E07D89-4B88-4CC6-855B-925C89B76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036" y="180106"/>
          <a:ext cx="5223164" cy="10135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135610</xdr:colOff>
      <xdr:row>50</xdr:row>
      <xdr:rowOff>96233</xdr:rowOff>
    </xdr:from>
    <xdr:to>
      <xdr:col>7</xdr:col>
      <xdr:colOff>731959</xdr:colOff>
      <xdr:row>99</xdr:row>
      <xdr:rowOff>51660</xdr:rowOff>
    </xdr:to>
    <xdr:sp macro="" textlink="">
      <xdr:nvSpPr>
        <xdr:cNvPr id="6" name="テキスト ボックス 5">
          <a:extLst>
            <a:ext uri="{FF2B5EF4-FFF2-40B4-BE49-F238E27FC236}">
              <a16:creationId xmlns:a16="http://schemas.microsoft.com/office/drawing/2014/main" xmlns="" id="{C2FD84A4-2203-4056-88D0-A4E00843BED4}"/>
            </a:ext>
          </a:extLst>
        </xdr:cNvPr>
        <xdr:cNvSpPr txBox="1"/>
      </xdr:nvSpPr>
      <xdr:spPr>
        <a:xfrm>
          <a:off x="135610" y="10428436"/>
          <a:ext cx="6472790" cy="10080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経営では、計画は必ず</a:t>
          </a:r>
          <a:r>
            <a:rPr kumimoji="1" lang="ja-JP" altLang="en-US" sz="1100">
              <a:solidFill>
                <a:schemeClr val="dk1"/>
              </a:solidFill>
              <a:effectLst/>
              <a:latin typeface="+mn-lt"/>
              <a:ea typeface="+mn-ea"/>
              <a:cs typeface="+mn-cs"/>
            </a:rPr>
            <a:t>数値</a:t>
          </a:r>
          <a:r>
            <a:rPr kumimoji="1" lang="ja-JP" altLang="ja-JP" sz="1100">
              <a:solidFill>
                <a:schemeClr val="dk1"/>
              </a:solidFill>
              <a:effectLst/>
              <a:latin typeface="+mn-lt"/>
              <a:ea typeface="+mn-ea"/>
              <a:cs typeface="+mn-cs"/>
            </a:rPr>
            <a:t>に置き換えてみる場面があります。</a:t>
          </a:r>
          <a:r>
            <a:rPr kumimoji="1" lang="ja-JP" altLang="en-US" sz="1100"/>
            <a:t>当テンプレートは、創業計画を「数値」の側面からみようというものです。起業への夢は、数値に裏づけられることで実現性が高いものになるでしょう。</a:t>
          </a:r>
          <a:endParaRPr kumimoji="1" lang="en-US" altLang="ja-JP" sz="1100"/>
        </a:p>
        <a:p>
          <a:endParaRPr kumimoji="1" lang="en-US" altLang="ja-JP" sz="1100"/>
        </a:p>
        <a:p>
          <a:r>
            <a:rPr kumimoji="1" lang="ja-JP" altLang="en-US" sz="1100"/>
            <a:t>　各シートには、「法人ではなく個人事業で創業する」ことを前提とした架空の数値を記載してあります。その目的は、　まずはツールを動かしてもらって、次に自分の場合の正しいデータに徐々に修正し、さらに調べたり聞いたりしながら精度の高いものにすればよいでしょう。</a:t>
          </a:r>
          <a:r>
            <a:rPr kumimoji="1" lang="en-US" altLang="ja-JP" sz="1100"/>
            <a:t>(</a:t>
          </a:r>
          <a:r>
            <a:rPr kumimoji="1" lang="ja-JP" altLang="en-US" sz="1100"/>
            <a:t>法人・個人併用のテンプレートとて当初作成し、今回、個人用として見直しましたが痕跡が残っているところもあります。ご容赦ください</a:t>
          </a:r>
          <a:r>
            <a:rPr kumimoji="1" lang="en-US" altLang="ja-JP" sz="1100"/>
            <a:t>)</a:t>
          </a:r>
          <a:endParaRPr kumimoji="1" lang="ja-JP" altLang="en-US" sz="1100"/>
        </a:p>
        <a:p>
          <a:endParaRPr kumimoji="1" lang="ja-JP" altLang="en-US" sz="1100"/>
        </a:p>
        <a:p>
          <a:r>
            <a:rPr kumimoji="1" lang="ja-JP" altLang="en-US" sz="1100"/>
            <a:t>　そのイメージとしては、ドライブのために車を買うに似ています。行いたいのはドライブであって車の構造を知りたいわけではありません。「習うより慣れる」とは言いますが、「まずは動かしてもらう」ための説明といたします。少しでも使い慣れる部分があると、わかった気になり、気持ちのユトリが出てくるものと思います。　</a:t>
          </a:r>
          <a:endParaRPr kumimoji="1" lang="en-US" altLang="ja-JP" sz="1100"/>
        </a:p>
        <a:p>
          <a:endParaRPr kumimoji="1" lang="ja-JP" altLang="en-US" sz="1100"/>
        </a:p>
        <a:p>
          <a:endParaRPr kumimoji="1" lang="ja-JP" altLang="en-US" sz="1100"/>
        </a:p>
        <a:p>
          <a:r>
            <a:rPr kumimoji="1" lang="en-US" altLang="ja-JP" sz="1100" b="1"/>
            <a:t>【</a:t>
          </a:r>
          <a:r>
            <a:rPr kumimoji="1" lang="ja-JP" altLang="en-US" sz="1100" b="1"/>
            <a:t>各シートの概要と全体構成を説明</a:t>
          </a:r>
          <a:r>
            <a:rPr kumimoji="1" lang="en-US" altLang="ja-JP" sz="1100" b="1"/>
            <a:t>】</a:t>
          </a:r>
          <a:endParaRPr kumimoji="1" lang="ja-JP" altLang="en-US" sz="1100" b="1"/>
        </a:p>
        <a:p>
          <a:endParaRPr kumimoji="1" lang="ja-JP" altLang="en-US" sz="1100"/>
        </a:p>
        <a:p>
          <a:r>
            <a:rPr kumimoji="1" lang="en-US" altLang="ja-JP" sz="1100"/>
            <a:t>1</a:t>
          </a:r>
          <a:r>
            <a:rPr kumimoji="1" lang="ja-JP" altLang="en-US" sz="1100"/>
            <a:t>　「評価・判断」シート</a:t>
          </a:r>
        </a:p>
        <a:p>
          <a:r>
            <a:rPr kumimoji="1" lang="ja-JP" altLang="en-US" sz="1100"/>
            <a:t>・これから行うシミュレーションの良否を判断するシートです。</a:t>
          </a:r>
          <a:endParaRPr kumimoji="1" lang="en-US" altLang="ja-JP" sz="1100"/>
        </a:p>
        <a:p>
          <a:r>
            <a:rPr kumimoji="1" lang="ja-JP" altLang="en-US" sz="1100"/>
            <a:t>・当テンプレートは、「資金不足は自動的に借入金となり金利も払う」という設定になっています。</a:t>
          </a:r>
        </a:p>
        <a:p>
          <a:r>
            <a:rPr kumimoji="1" lang="ja-JP" altLang="en-US" sz="1100"/>
            <a:t>・このため、判断基準は一つだけです。純資産グラフが上がり、借入金グラフが下がることです。そして、グラフ内で交差することです。</a:t>
          </a:r>
        </a:p>
        <a:p>
          <a:endParaRPr kumimoji="1" lang="ja-JP" altLang="en-US" sz="1100"/>
        </a:p>
        <a:p>
          <a:endParaRPr kumimoji="1" lang="en-US" altLang="ja-JP" sz="1100"/>
        </a:p>
        <a:p>
          <a:r>
            <a:rPr kumimoji="1" lang="ja-JP" altLang="en-US" sz="1100"/>
            <a:t>２　次に、①～③の「売上の積算」「経費の積算」「調達品」の各シートを記載します。　</a:t>
          </a:r>
        </a:p>
        <a:p>
          <a:r>
            <a:rPr kumimoji="1" lang="ja-JP" altLang="en-US" sz="1100"/>
            <a:t>・一番手間暇かかる作業です。最初から正確なものを記載しようとするのではなく、わかるところから、後々に調べたり聞いたりしたところから順次加除修正し精度を高めればよいでしょう。</a:t>
          </a:r>
        </a:p>
        <a:p>
          <a:endParaRPr kumimoji="1" lang="ja-JP" altLang="en-US" sz="1100"/>
        </a:p>
        <a:p>
          <a:endParaRPr kumimoji="1" lang="ja-JP" altLang="en-US" sz="1100"/>
        </a:p>
        <a:p>
          <a:r>
            <a:rPr kumimoji="1" lang="ja-JP" altLang="en-US" sz="1100"/>
            <a:t>３　④⑤の「減価償却」「借入金」シートは、各々自動作成です。</a:t>
          </a:r>
        </a:p>
        <a:p>
          <a:r>
            <a:rPr kumimoji="1" lang="ja-JP" altLang="en-US" sz="1100"/>
            <a:t>・各シートの説明を読み必要な場合、必要なところだけ修正することになります。</a:t>
          </a:r>
          <a:endParaRPr kumimoji="1" lang="en-US" altLang="ja-JP" sz="1100"/>
        </a:p>
        <a:p>
          <a:endParaRPr kumimoji="1" lang="ja-JP" altLang="en-US" sz="1100"/>
        </a:p>
        <a:p>
          <a:endParaRPr kumimoji="1" lang="ja-JP" altLang="en-US" sz="1100"/>
        </a:p>
        <a:p>
          <a:r>
            <a:rPr kumimoji="1" lang="ja-JP" altLang="en-US" sz="1100"/>
            <a:t>４　</a:t>
          </a:r>
          <a:r>
            <a:rPr kumimoji="1" lang="ja-JP" altLang="ja-JP" sz="1100">
              <a:solidFill>
                <a:schemeClr val="dk1"/>
              </a:solidFill>
              <a:effectLst/>
              <a:latin typeface="+mn-lt"/>
              <a:ea typeface="+mn-ea"/>
              <a:cs typeface="+mn-cs"/>
            </a:rPr>
            <a:t>「⑥シミュレーション」シート</a:t>
          </a:r>
          <a:r>
            <a:rPr kumimoji="1" lang="ja-JP" altLang="en-US" sz="1100">
              <a:solidFill>
                <a:schemeClr val="dk1"/>
              </a:solidFill>
              <a:effectLst/>
              <a:latin typeface="+mn-lt"/>
              <a:ea typeface="+mn-ea"/>
              <a:cs typeface="+mn-cs"/>
            </a:rPr>
            <a:t>は、机上で経営の予行演習をするシートです。</a:t>
          </a:r>
        </a:p>
        <a:p>
          <a:r>
            <a:rPr kumimoji="1" lang="ja-JP" altLang="en-US" sz="1100"/>
            <a:t>・この過程で、前記</a:t>
          </a:r>
          <a:r>
            <a:rPr kumimoji="1" lang="en-US" altLang="ja-JP" sz="1100"/>
            <a:t>1</a:t>
          </a:r>
          <a:r>
            <a:rPr kumimoji="1" lang="ja-JP" altLang="en-US" sz="1100"/>
            <a:t>～</a:t>
          </a:r>
          <a:r>
            <a:rPr kumimoji="1" lang="en-US" altLang="ja-JP" sz="1100"/>
            <a:t>3</a:t>
          </a:r>
          <a:r>
            <a:rPr kumimoji="1" lang="ja-JP" altLang="en-US" sz="1100"/>
            <a:t>や①～③に戻り修正するという繰り返しとなります。</a:t>
          </a:r>
          <a:endParaRPr kumimoji="1" lang="en-US" altLang="ja-JP" sz="1100"/>
        </a:p>
        <a:p>
          <a:endParaRPr lang="ja-JP" altLang="ja-JP">
            <a:effectLst/>
          </a:endParaRPr>
        </a:p>
        <a:p>
          <a:pPr eaLnBrk="1" fontAlgn="auto" latinLnBrk="0" hangingPunct="1"/>
          <a:r>
            <a:rPr kumimoji="1" lang="ja-JP" altLang="en-US" sz="1100">
              <a:solidFill>
                <a:schemeClr val="dk1"/>
              </a:solidFill>
              <a:effectLst/>
              <a:latin typeface="+mn-lt"/>
              <a:ea typeface="+mn-ea"/>
              <a:cs typeface="+mn-cs"/>
            </a:rPr>
            <a:t>◎損益計算書</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・起業者の夢を実現するための</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お金の面</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基本計画</a:t>
          </a:r>
          <a:r>
            <a:rPr kumimoji="1" lang="ja-JP" altLang="en-US" sz="1100">
              <a:solidFill>
                <a:schemeClr val="dk1"/>
              </a:solidFill>
              <a:effectLst/>
              <a:latin typeface="+mn-lt"/>
              <a:ea typeface="+mn-ea"/>
              <a:cs typeface="+mn-cs"/>
            </a:rPr>
            <a:t>書</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見積損益計算書</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位置づけています。</a:t>
          </a:r>
        </a:p>
        <a:p>
          <a:pPr eaLnBrk="1" fontAlgn="auto" latinLnBrk="0" hangingPunct="1"/>
          <a:r>
            <a:rPr kumimoji="1" lang="ja-JP" altLang="en-US" sz="1100">
              <a:solidFill>
                <a:schemeClr val="dk1"/>
              </a:solidFill>
              <a:effectLst/>
              <a:latin typeface="+mn-lt"/>
              <a:ea typeface="+mn-ea"/>
              <a:cs typeface="+mn-cs"/>
            </a:rPr>
            <a:t>・前記①～③を記載すると、損益計算書に数値が反映されています。それを基にして、例えば次のようなことを数値に置き換えて入力してみることになります。</a:t>
          </a:r>
        </a:p>
        <a:p>
          <a:pPr eaLnBrk="1" fontAlgn="auto" latinLnBrk="0" hangingPunct="1"/>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来年</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は給料を上げよう</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年後に新部門を立ち上げよう</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・その前に</a:t>
          </a:r>
          <a:r>
            <a:rPr kumimoji="1" lang="ja-JP" altLang="ja-JP" sz="1100">
              <a:solidFill>
                <a:schemeClr val="dk1"/>
              </a:solidFill>
              <a:effectLst/>
              <a:latin typeface="+mn-lt"/>
              <a:ea typeface="+mn-ea"/>
              <a:cs typeface="+mn-cs"/>
            </a:rPr>
            <a:t>設備投資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しよう</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それにともなって経費がこれだけかかる</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・将来、自分の取り分を倍増しよう</a:t>
          </a: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売上高が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割、できれば</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割達成できない場合はどうなるか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特に、融資を申し込む人は売上高</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割減は対応できるシミュレーション結果がほしいです。しかし、　</a:t>
          </a:r>
        </a:p>
        <a:p>
          <a:pPr eaLnBrk="1" fontAlgn="auto" latinLnBrk="0" hangingPunct="1"/>
          <a:r>
            <a:rPr kumimoji="1" lang="ja-JP" altLang="en-US" sz="1100">
              <a:solidFill>
                <a:schemeClr val="dk1"/>
              </a:solidFill>
              <a:effectLst/>
              <a:latin typeface="+mn-lt"/>
              <a:ea typeface="+mn-ea"/>
              <a:cs typeface="+mn-cs"/>
            </a:rPr>
            <a:t>　　　　　　　　売上高</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割減では、簡単には採算がとれないかもしれません。その場合でも、「こんな対策を考</a:t>
          </a:r>
        </a:p>
        <a:p>
          <a:pPr eaLnBrk="1" fontAlgn="auto" latinLnBrk="0" hangingPunct="1"/>
          <a:r>
            <a:rPr kumimoji="1" lang="ja-JP" altLang="en-US" sz="1100">
              <a:solidFill>
                <a:schemeClr val="dk1"/>
              </a:solidFill>
              <a:effectLst/>
              <a:latin typeface="+mn-lt"/>
              <a:ea typeface="+mn-ea"/>
              <a:cs typeface="+mn-cs"/>
            </a:rPr>
            <a:t>　　　　　　　　えています」とは言えるようにしてほしいと思います。</a:t>
          </a:r>
          <a:endParaRPr kumimoji="1" lang="en-US" altLang="ja-JP" sz="1100">
            <a:solidFill>
              <a:schemeClr val="dk1"/>
            </a:solidFill>
            <a:effectLst/>
            <a:latin typeface="+mn-lt"/>
            <a:ea typeface="+mn-ea"/>
            <a:cs typeface="+mn-cs"/>
          </a:endParaRPr>
        </a:p>
        <a:p>
          <a:pPr eaLnBrk="1" fontAlgn="auto" latinLnBrk="0" hangingPunct="1"/>
          <a:endParaRPr kumimoji="1" lang="ja-JP" altLang="en-US" sz="1100">
            <a:solidFill>
              <a:schemeClr val="dk1"/>
            </a:solidFill>
            <a:effectLst/>
            <a:latin typeface="+mn-lt"/>
            <a:ea typeface="+mn-ea"/>
            <a:cs typeface="+mn-cs"/>
          </a:endParaRPr>
        </a:p>
        <a:p>
          <a:endParaRPr kumimoji="1" lang="ja-JP" altLang="en-US" sz="1100"/>
        </a:p>
      </xdr:txBody>
    </xdr:sp>
    <xdr:clientData/>
  </xdr:twoCellAnchor>
  <xdr:twoCellAnchor editAs="oneCell">
    <xdr:from>
      <xdr:col>5</xdr:col>
      <xdr:colOff>61128</xdr:colOff>
      <xdr:row>6</xdr:row>
      <xdr:rowOff>135875</xdr:rowOff>
    </xdr:from>
    <xdr:to>
      <xdr:col>7</xdr:col>
      <xdr:colOff>674624</xdr:colOff>
      <xdr:row>7</xdr:row>
      <xdr:rowOff>143495</xdr:rowOff>
    </xdr:to>
    <xdr:pic>
      <xdr:nvPicPr>
        <xdr:cNvPr id="13" name="図 12">
          <a:extLst>
            <a:ext uri="{FF2B5EF4-FFF2-40B4-BE49-F238E27FC236}">
              <a16:creationId xmlns:a16="http://schemas.microsoft.com/office/drawing/2014/main" xmlns="" id="{E8B45F7D-97C3-295C-1467-E48C0382C8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2810" y="1375015"/>
          <a:ext cx="2294169" cy="21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62058</xdr:colOff>
      <xdr:row>8</xdr:row>
      <xdr:rowOff>50202</xdr:rowOff>
    </xdr:from>
    <xdr:to>
      <xdr:col>7</xdr:col>
      <xdr:colOff>675554</xdr:colOff>
      <xdr:row>9</xdr:row>
      <xdr:rowOff>57821</xdr:rowOff>
    </xdr:to>
    <xdr:pic>
      <xdr:nvPicPr>
        <xdr:cNvPr id="15" name="図 14">
          <a:extLst>
            <a:ext uri="{FF2B5EF4-FFF2-40B4-BE49-F238E27FC236}">
              <a16:creationId xmlns:a16="http://schemas.microsoft.com/office/drawing/2014/main" xmlns="" id="{820825E8-22BE-B57C-A16B-1BC036DFC9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3740" y="1702389"/>
          <a:ext cx="2294169" cy="21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109780</xdr:colOff>
      <xdr:row>100</xdr:row>
      <xdr:rowOff>77492</xdr:rowOff>
    </xdr:from>
    <xdr:to>
      <xdr:col>7</xdr:col>
      <xdr:colOff>706129</xdr:colOff>
      <xdr:row>149</xdr:row>
      <xdr:rowOff>135610</xdr:rowOff>
    </xdr:to>
    <xdr:sp macro="" textlink="">
      <xdr:nvSpPr>
        <xdr:cNvPr id="9" name="テキスト ボックス 8">
          <a:extLst>
            <a:ext uri="{FF2B5EF4-FFF2-40B4-BE49-F238E27FC236}">
              <a16:creationId xmlns:a16="http://schemas.microsoft.com/office/drawing/2014/main" xmlns="" id="{83BE293C-42F6-482B-94E0-D4E90EDD8888}"/>
            </a:ext>
          </a:extLst>
        </xdr:cNvPr>
        <xdr:cNvSpPr txBox="1"/>
      </xdr:nvSpPr>
      <xdr:spPr>
        <a:xfrm>
          <a:off x="109780" y="20741899"/>
          <a:ext cx="6472790" cy="10183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◎キャッシュフロー計算書</a:t>
          </a:r>
        </a:p>
        <a:p>
          <a:r>
            <a:rPr kumimoji="1" lang="ja-JP" altLang="en-US" sz="1100">
              <a:solidFill>
                <a:schemeClr val="dk1"/>
              </a:solidFill>
              <a:effectLst/>
              <a:latin typeface="+mn-lt"/>
              <a:ea typeface="+mn-ea"/>
              <a:cs typeface="+mn-cs"/>
            </a:rPr>
            <a:t>・自動作成します。</a:t>
          </a:r>
        </a:p>
        <a:p>
          <a:r>
            <a:rPr kumimoji="1" lang="ja-JP" altLang="en-US" sz="1100">
              <a:solidFill>
                <a:schemeClr val="dk1"/>
              </a:solidFill>
              <a:effectLst/>
              <a:latin typeface="+mn-lt"/>
              <a:ea typeface="+mn-ea"/>
              <a:cs typeface="+mn-cs"/>
            </a:rPr>
            <a:t>・本来のキャッシュフロー計算書とニュアンスを異にする役割をもってもらいました。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キ</a:t>
          </a:r>
          <a:r>
            <a:rPr kumimoji="1" lang="ja-JP" altLang="ja-JP" sz="1100">
              <a:solidFill>
                <a:schemeClr val="dk1"/>
              </a:solidFill>
              <a:effectLst/>
              <a:latin typeface="+mn-lt"/>
              <a:ea typeface="+mn-ea"/>
              <a:cs typeface="+mn-cs"/>
            </a:rPr>
            <a:t>ャッシュフロー計算書そのものを作成しようとなると、起業者に何故そこまで</a:t>
          </a:r>
          <a:r>
            <a:rPr kumimoji="1" lang="ja-JP" altLang="en-US" sz="1100">
              <a:solidFill>
                <a:schemeClr val="dk1"/>
              </a:solidFill>
              <a:effectLst/>
              <a:latin typeface="+mn-lt"/>
              <a:ea typeface="+mn-ea"/>
              <a:cs typeface="+mn-cs"/>
            </a:rPr>
            <a:t>求めるのか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．となります。</a:t>
          </a:r>
        </a:p>
        <a:p>
          <a:r>
            <a:rPr kumimoji="1" lang="ja-JP" altLang="en-US" sz="1100">
              <a:solidFill>
                <a:schemeClr val="dk1"/>
              </a:solidFill>
              <a:effectLst/>
              <a:latin typeface="+mn-lt"/>
              <a:ea typeface="+mn-ea"/>
              <a:cs typeface="+mn-cs"/>
            </a:rPr>
            <a:t>・次に掲載する例のようなことから、資金の調達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源泉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と運用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使途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の妥当性を考える習慣づくりの役割をもってもらいました。　</a:t>
          </a:r>
        </a:p>
        <a:p>
          <a:endParaRPr kumimoji="1" lang="ja-JP" altLang="en-US"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・「設備投資」にお金が必要になりました。</a:t>
          </a:r>
        </a:p>
        <a:p>
          <a:r>
            <a:rPr kumimoji="1" lang="ja-JP" altLang="en-US" sz="1100">
              <a:solidFill>
                <a:schemeClr val="dk1"/>
              </a:solidFill>
              <a:effectLst/>
              <a:latin typeface="+mn-lt"/>
              <a:ea typeface="+mn-ea"/>
              <a:cs typeface="+mn-cs"/>
            </a:rPr>
            <a:t>・支払いは、頑張ってやりくりして、売上代金や経費を節約して払いました。</a:t>
          </a:r>
        </a:p>
        <a:p>
          <a:r>
            <a:rPr kumimoji="1" lang="ja-JP" altLang="en-US" sz="1100">
              <a:solidFill>
                <a:schemeClr val="dk1"/>
              </a:solidFill>
              <a:effectLst/>
              <a:latin typeface="+mn-lt"/>
              <a:ea typeface="+mn-ea"/>
              <a:cs typeface="+mn-cs"/>
            </a:rPr>
            <a:t>・頑張りやりくりしたのですが、経費で一番大きいのは仕入代金です。次第に買掛金がたまり始め、仕入債務の支払いを理由として運転資金の申し込みをしました。</a:t>
          </a:r>
        </a:p>
        <a:p>
          <a:r>
            <a:rPr kumimoji="1" lang="ja-JP" altLang="en-US" sz="1100">
              <a:solidFill>
                <a:schemeClr val="dk1"/>
              </a:solidFill>
              <a:effectLst/>
              <a:latin typeface="+mn-lt"/>
              <a:ea typeface="+mn-ea"/>
              <a:cs typeface="+mn-cs"/>
            </a:rPr>
            <a:t>・資金運用表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計算方法はキャッシュフローと殆ど同じ</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を作成してみました。</a:t>
          </a:r>
        </a:p>
        <a:p>
          <a:r>
            <a:rPr kumimoji="1" lang="ja-JP" altLang="en-US" sz="1100">
              <a:solidFill>
                <a:schemeClr val="dk1"/>
              </a:solidFill>
              <a:effectLst/>
              <a:latin typeface="+mn-lt"/>
              <a:ea typeface="+mn-ea"/>
              <a:cs typeface="+mn-cs"/>
            </a:rPr>
            <a:t>・最初の年は、使途で多いのは「設備資金」、源泉で多いのは売掛金回収と利益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経費節約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でしたので、「設備資金」の多くは売掛金と利益増加分と判断できます。</a:t>
          </a:r>
        </a:p>
        <a:p>
          <a:r>
            <a:rPr kumimoji="1" lang="ja-JP" altLang="en-US" sz="1100">
              <a:solidFill>
                <a:schemeClr val="dk1"/>
              </a:solidFill>
              <a:effectLst/>
              <a:latin typeface="+mn-lt"/>
              <a:ea typeface="+mn-ea"/>
              <a:cs typeface="+mn-cs"/>
            </a:rPr>
            <a:t>・次の年の計算では、使途で大きいのは買掛金の支払いです。資金の源泉としては借入金増加が多いため、借入金で買掛金を払ったことがわかります。</a:t>
          </a: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・でも、よく考えると</a:t>
          </a:r>
          <a:r>
            <a:rPr kumimoji="1" lang="en-US" altLang="ja-JP" sz="1100">
              <a:solidFill>
                <a:schemeClr val="dk1"/>
              </a:solidFill>
              <a:effectLst/>
              <a:latin typeface="+mn-lt"/>
              <a:ea typeface="+mn-ea"/>
              <a:cs typeface="+mn-cs"/>
            </a:rPr>
            <a:t>....</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・買掛金支払いのために借りた借入金は、元々は「設備投資」のためのものだったのではないか。</a:t>
          </a:r>
        </a:p>
        <a:p>
          <a:r>
            <a:rPr kumimoji="1" lang="ja-JP" altLang="en-US" sz="1100">
              <a:solidFill>
                <a:schemeClr val="dk1"/>
              </a:solidFill>
              <a:effectLst/>
              <a:latin typeface="+mn-lt"/>
              <a:ea typeface="+mn-ea"/>
              <a:cs typeface="+mn-cs"/>
            </a:rPr>
            <a:t>　　・それならば、最初から「設備資金」として借入れすれば、長期資金など、使途に応じた条件で借り</a:t>
          </a:r>
        </a:p>
        <a:p>
          <a:r>
            <a:rPr kumimoji="1" lang="ja-JP" altLang="en-US" sz="1100">
              <a:solidFill>
                <a:schemeClr val="dk1"/>
              </a:solidFill>
              <a:effectLst/>
              <a:latin typeface="+mn-lt"/>
              <a:ea typeface="+mn-ea"/>
              <a:cs typeface="+mn-cs"/>
            </a:rPr>
            <a:t>　　　られた。やりくりの努力は何だったのだろうか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p>
        <a:p>
          <a:r>
            <a:rPr kumimoji="1" lang="ja-JP" altLang="en-US" sz="1100">
              <a:solidFill>
                <a:schemeClr val="dk1"/>
              </a:solidFill>
              <a:effectLst/>
              <a:latin typeface="+mn-lt"/>
              <a:ea typeface="+mn-ea"/>
              <a:cs typeface="+mn-cs"/>
            </a:rPr>
            <a:t>・問題が大きくなるのは、例に上げた「設備資金」部分を「事業主貸」として生活資金、教育資金等に置き換えた場合です。このような対応をする習慣があると、いつしか</a:t>
          </a:r>
          <a:r>
            <a:rPr kumimoji="1" lang="ja-JP" altLang="ja-JP" sz="1100">
              <a:solidFill>
                <a:schemeClr val="dk1"/>
              </a:solidFill>
              <a:effectLst/>
              <a:latin typeface="+mn-lt"/>
              <a:ea typeface="+mn-ea"/>
              <a:cs typeface="+mn-cs"/>
            </a:rPr>
            <a:t>営業以上にお金のやりくりが忙しくなって</a:t>
          </a:r>
          <a:r>
            <a:rPr kumimoji="1" lang="ja-JP" altLang="en-US" sz="1100">
              <a:solidFill>
                <a:schemeClr val="dk1"/>
              </a:solidFill>
              <a:effectLst/>
              <a:latin typeface="+mn-lt"/>
              <a:ea typeface="+mn-ea"/>
              <a:cs typeface="+mn-cs"/>
            </a:rPr>
            <a:t>きます。</a:t>
          </a: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・そこで</a:t>
          </a:r>
          <a:r>
            <a:rPr kumimoji="1" lang="en-US" altLang="ja-JP" sz="1100">
              <a:solidFill>
                <a:schemeClr val="dk1"/>
              </a:solidFill>
              <a:effectLst/>
              <a:latin typeface="+mn-lt"/>
              <a:ea typeface="+mn-ea"/>
              <a:cs typeface="+mn-cs"/>
            </a:rPr>
            <a:t>....</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・資金使途が買掛金に代表される月々など短期に払わなければならないものは、売掛金など月々に資</a:t>
          </a:r>
        </a:p>
        <a:p>
          <a:r>
            <a:rPr kumimoji="1" lang="ja-JP" altLang="en-US" sz="1100">
              <a:solidFill>
                <a:schemeClr val="dk1"/>
              </a:solidFill>
              <a:effectLst/>
              <a:latin typeface="+mn-lt"/>
              <a:ea typeface="+mn-ea"/>
              <a:cs typeface="+mn-cs"/>
            </a:rPr>
            <a:t>　　金源泉が生じるものであてる。設備資金など、長期的に利益増で何とかしたいものは長期にわたり返す</a:t>
          </a:r>
        </a:p>
        <a:p>
          <a:r>
            <a:rPr kumimoji="1" lang="ja-JP" altLang="en-US" sz="1100">
              <a:solidFill>
                <a:schemeClr val="dk1"/>
              </a:solidFill>
              <a:effectLst/>
              <a:latin typeface="+mn-lt"/>
              <a:ea typeface="+mn-ea"/>
              <a:cs typeface="+mn-cs"/>
            </a:rPr>
            <a:t>　　借入金や余裕資金としてある預金であてる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という普通のことを習慣にしてほしいというものです。</a:t>
          </a: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◎貸借対照表</a:t>
          </a:r>
        </a:p>
        <a:p>
          <a:r>
            <a:rPr kumimoji="1" lang="ja-JP" altLang="ja-JP" sz="1100">
              <a:solidFill>
                <a:schemeClr val="dk1"/>
              </a:solidFill>
              <a:effectLst/>
              <a:latin typeface="+mn-lt"/>
              <a:ea typeface="+mn-ea"/>
              <a:cs typeface="+mn-cs"/>
            </a:rPr>
            <a:t>・自動作成します。</a:t>
          </a:r>
          <a:endParaRPr lang="ja-JP" altLang="ja-JP">
            <a:effectLst/>
          </a:endParaRPr>
        </a:p>
        <a:p>
          <a:r>
            <a:rPr kumimoji="1" lang="ja-JP" altLang="en-US" sz="1100">
              <a:solidFill>
                <a:schemeClr val="dk1"/>
              </a:solidFill>
              <a:effectLst/>
              <a:latin typeface="+mn-lt"/>
              <a:ea typeface="+mn-ea"/>
              <a:cs typeface="+mn-cs"/>
            </a:rPr>
            <a:t>・活動の結果の財政</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財産</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状況を表したものです。</a:t>
          </a:r>
        </a:p>
        <a:p>
          <a:r>
            <a:rPr kumimoji="1" lang="ja-JP" altLang="en-US" sz="1100">
              <a:solidFill>
                <a:schemeClr val="dk1"/>
              </a:solidFill>
              <a:effectLst/>
              <a:latin typeface="+mn-lt"/>
              <a:ea typeface="+mn-ea"/>
              <a:cs typeface="+mn-cs"/>
            </a:rPr>
            <a:t>・損益計算書は、翌年は再び「</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からスタートしますが、貸借対照表は遠い将来、事業を終えるまでつながっていく「会社の履歴書」ともいえるものです。何年か分があれば、前述の資金の運用と調達の仕方などを通して会社や代表者の性格までわかる場合もあります。</a:t>
          </a:r>
        </a:p>
        <a:p>
          <a:endParaRPr kumimoji="1" lang="ja-JP" altLang="en-US" sz="1100">
            <a:solidFill>
              <a:schemeClr val="dk1"/>
            </a:solidFill>
            <a:effectLst/>
            <a:latin typeface="+mn-lt"/>
            <a:ea typeface="+mn-ea"/>
            <a:cs typeface="+mn-cs"/>
          </a:endParaRPr>
        </a:p>
        <a:p>
          <a:endParaRPr lang="ja-JP" altLang="ja-JP">
            <a:effectLst/>
          </a:endParaRPr>
        </a:p>
        <a:p>
          <a:r>
            <a:rPr kumimoji="1" lang="ja-JP" altLang="en-US" sz="1100">
              <a:solidFill>
                <a:schemeClr val="dk1"/>
              </a:solidFill>
              <a:effectLst/>
              <a:latin typeface="+mn-lt"/>
              <a:ea typeface="+mn-ea"/>
              <a:cs typeface="+mn-cs"/>
            </a:rPr>
            <a:t>５　⑤</a:t>
          </a:r>
          <a:r>
            <a:rPr kumimoji="1" lang="ja-JP" altLang="ja-JP" sz="1100">
              <a:solidFill>
                <a:schemeClr val="dk1"/>
              </a:solidFill>
              <a:effectLst/>
              <a:latin typeface="+mn-lt"/>
              <a:ea typeface="+mn-ea"/>
              <a:cs typeface="+mn-cs"/>
            </a:rPr>
            <a:t>資金繰り表</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・ほぼ自動作成します。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・当ツールでは、基本計画「損益計算書」を実現するため</a:t>
          </a:r>
          <a:r>
            <a:rPr kumimoji="1" lang="ja-JP" altLang="en-US" sz="1100">
              <a:solidFill>
                <a:schemeClr val="dk1"/>
              </a:solidFill>
              <a:effectLst/>
              <a:latin typeface="+mn-lt"/>
              <a:ea typeface="+mn-ea"/>
              <a:cs typeface="+mn-cs"/>
            </a:rPr>
            <a:t>に先々の情報を入手し、対応</a:t>
          </a:r>
          <a:r>
            <a:rPr kumimoji="1" lang="ja-JP" altLang="ja-JP" sz="1100">
              <a:solidFill>
                <a:schemeClr val="dk1"/>
              </a:solidFill>
              <a:effectLst/>
              <a:latin typeface="+mn-lt"/>
              <a:ea typeface="+mn-ea"/>
              <a:cs typeface="+mn-cs"/>
            </a:rPr>
            <a:t>の行動する活動計画と位置づけています。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・季節指数、代金の回収と支払い、それに応じ資金の過不足と資金手当の必要性など、ここで数値を変えてみる作業をすると、お金の流れの変化が一番目に見えるシートです。</a:t>
          </a:r>
          <a:endParaRPr kumimoji="1" lang="ja-JP" altLang="en-US"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・同じ売上高でも、季節指数、回収支払の条件を違わせることにより、調達に手間暇とストレスがかかる不足金額が異なることを机上の予行演習として繰り返して把握ください。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190500</xdr:rowOff>
    </xdr:from>
    <xdr:to>
      <xdr:col>12</xdr:col>
      <xdr:colOff>274320</xdr:colOff>
      <xdr:row>33</xdr:row>
      <xdr:rowOff>0</xdr:rowOff>
    </xdr:to>
    <xdr:graphicFrame macro="">
      <xdr:nvGraphicFramePr>
        <xdr:cNvPr id="3" name="グラフ 3">
          <a:extLst>
            <a:ext uri="{FF2B5EF4-FFF2-40B4-BE49-F238E27FC236}">
              <a16:creationId xmlns:a16="http://schemas.microsoft.com/office/drawing/2014/main" xmlns="" id="{B3AB222A-695C-4609-B304-BF0EFAB59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1</xdr:row>
      <xdr:rowOff>419100</xdr:rowOff>
    </xdr:from>
    <xdr:to>
      <xdr:col>5</xdr:col>
      <xdr:colOff>99060</xdr:colOff>
      <xdr:row>12</xdr:row>
      <xdr:rowOff>68580</xdr:rowOff>
    </xdr:to>
    <xdr:sp macro="" textlink="">
      <xdr:nvSpPr>
        <xdr:cNvPr id="2" name="正方形/長方形 1">
          <a:extLst>
            <a:ext uri="{FF2B5EF4-FFF2-40B4-BE49-F238E27FC236}">
              <a16:creationId xmlns:a16="http://schemas.microsoft.com/office/drawing/2014/main" xmlns="" id="{3B368A55-F8AC-FD15-125D-BA5574B9CE74}"/>
            </a:ext>
          </a:extLst>
        </xdr:cNvPr>
        <xdr:cNvSpPr/>
      </xdr:nvSpPr>
      <xdr:spPr>
        <a:xfrm>
          <a:off x="609600" y="624840"/>
          <a:ext cx="4404360" cy="2133600"/>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678180</xdr:colOff>
      <xdr:row>1</xdr:row>
      <xdr:rowOff>403860</xdr:rowOff>
    </xdr:from>
    <xdr:to>
      <xdr:col>10</xdr:col>
      <xdr:colOff>99060</xdr:colOff>
      <xdr:row>12</xdr:row>
      <xdr:rowOff>114300</xdr:rowOff>
    </xdr:to>
    <xdr:sp macro="" textlink="">
      <xdr:nvSpPr>
        <xdr:cNvPr id="7" name="正方形/長方形 6">
          <a:extLst>
            <a:ext uri="{FF2B5EF4-FFF2-40B4-BE49-F238E27FC236}">
              <a16:creationId xmlns:a16="http://schemas.microsoft.com/office/drawing/2014/main" xmlns="" id="{7B790D1E-E21B-496A-99F6-8D73A31F3D42}"/>
            </a:ext>
          </a:extLst>
        </xdr:cNvPr>
        <xdr:cNvSpPr/>
      </xdr:nvSpPr>
      <xdr:spPr>
        <a:xfrm>
          <a:off x="5593080" y="609600"/>
          <a:ext cx="3718560" cy="2156460"/>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716280</xdr:colOff>
      <xdr:row>1</xdr:row>
      <xdr:rowOff>381000</xdr:rowOff>
    </xdr:from>
    <xdr:to>
      <xdr:col>15</xdr:col>
      <xdr:colOff>358140</xdr:colOff>
      <xdr:row>12</xdr:row>
      <xdr:rowOff>76200</xdr:rowOff>
    </xdr:to>
    <xdr:sp macro="" textlink="">
      <xdr:nvSpPr>
        <xdr:cNvPr id="9" name="正方形/長方形 8">
          <a:extLst>
            <a:ext uri="{FF2B5EF4-FFF2-40B4-BE49-F238E27FC236}">
              <a16:creationId xmlns:a16="http://schemas.microsoft.com/office/drawing/2014/main" xmlns="" id="{0C5AE5FA-DDA3-4D1A-8DCA-85349E773228}"/>
            </a:ext>
          </a:extLst>
        </xdr:cNvPr>
        <xdr:cNvSpPr/>
      </xdr:nvSpPr>
      <xdr:spPr>
        <a:xfrm>
          <a:off x="9928860" y="586740"/>
          <a:ext cx="4480560" cy="2141220"/>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190500</xdr:colOff>
      <xdr:row>3</xdr:row>
      <xdr:rowOff>160020</xdr:rowOff>
    </xdr:from>
    <xdr:to>
      <xdr:col>5</xdr:col>
      <xdr:colOff>601980</xdr:colOff>
      <xdr:row>9</xdr:row>
      <xdr:rowOff>53340</xdr:rowOff>
    </xdr:to>
    <xdr:sp macro="" textlink="">
      <xdr:nvSpPr>
        <xdr:cNvPr id="4" name="矢印: 右 3">
          <a:extLst>
            <a:ext uri="{FF2B5EF4-FFF2-40B4-BE49-F238E27FC236}">
              <a16:creationId xmlns:a16="http://schemas.microsoft.com/office/drawing/2014/main" xmlns="" id="{D28138C2-0042-C45F-BDDC-328DC08D7732}"/>
            </a:ext>
          </a:extLst>
        </xdr:cNvPr>
        <xdr:cNvSpPr/>
      </xdr:nvSpPr>
      <xdr:spPr>
        <a:xfrm>
          <a:off x="5105400" y="1036320"/>
          <a:ext cx="411480" cy="10744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243840</xdr:colOff>
      <xdr:row>3</xdr:row>
      <xdr:rowOff>152400</xdr:rowOff>
    </xdr:from>
    <xdr:to>
      <xdr:col>10</xdr:col>
      <xdr:colOff>655320</xdr:colOff>
      <xdr:row>9</xdr:row>
      <xdr:rowOff>45720</xdr:rowOff>
    </xdr:to>
    <xdr:sp macro="" textlink="">
      <xdr:nvSpPr>
        <xdr:cNvPr id="11" name="矢印: 右 10">
          <a:extLst>
            <a:ext uri="{FF2B5EF4-FFF2-40B4-BE49-F238E27FC236}">
              <a16:creationId xmlns:a16="http://schemas.microsoft.com/office/drawing/2014/main" xmlns="" id="{451BEDDA-0F02-4EBC-B8AB-94C12D9CBD16}"/>
            </a:ext>
          </a:extLst>
        </xdr:cNvPr>
        <xdr:cNvSpPr/>
      </xdr:nvSpPr>
      <xdr:spPr>
        <a:xfrm>
          <a:off x="8488680" y="1028700"/>
          <a:ext cx="411480" cy="10744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609600</xdr:colOff>
      <xdr:row>13</xdr:row>
      <xdr:rowOff>205619</xdr:rowOff>
    </xdr:from>
    <xdr:to>
      <xdr:col>15</xdr:col>
      <xdr:colOff>358140</xdr:colOff>
      <xdr:row>38</xdr:row>
      <xdr:rowOff>0</xdr:rowOff>
    </xdr:to>
    <xdr:sp macro="" textlink="">
      <xdr:nvSpPr>
        <xdr:cNvPr id="10" name="テキスト ボックス 9">
          <a:extLst>
            <a:ext uri="{FF2B5EF4-FFF2-40B4-BE49-F238E27FC236}">
              <a16:creationId xmlns:a16="http://schemas.microsoft.com/office/drawing/2014/main" xmlns="" id="{CD79B808-0710-4EF9-B74E-925D3438CFFC}"/>
            </a:ext>
          </a:extLst>
        </xdr:cNvPr>
        <xdr:cNvSpPr txBox="1"/>
      </xdr:nvSpPr>
      <xdr:spPr>
        <a:xfrm>
          <a:off x="11755362" y="3072190"/>
          <a:ext cx="2542540" cy="512838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〇既に架空の数値を入力してあります。それを修正する形でツールを使ってください。修正や</a:t>
          </a:r>
          <a:r>
            <a:rPr kumimoji="1" lang="ja-JP" altLang="ja-JP" sz="1100">
              <a:solidFill>
                <a:schemeClr val="dk1"/>
              </a:solidFill>
              <a:effectLst/>
              <a:latin typeface="+mn-lt"/>
              <a:ea typeface="+mn-ea"/>
              <a:cs typeface="+mn-cs"/>
            </a:rPr>
            <a:t>記入できるのは黄色</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セルだけです。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〇シミュレーションの良し悪しの判断材料は一つだけです。グラフの純資産</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赤</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が伸び、借入金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黒点線</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が減少してグラフ内で差することです。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入力してみてください</a:t>
          </a:r>
          <a:r>
            <a:rPr kumimoji="1" lang="en-US" altLang="ja-JP" sz="1200" b="1">
              <a:solidFill>
                <a:srgbClr val="FF0000"/>
              </a:solidFill>
              <a:effectLst/>
              <a:latin typeface="+mn-lt"/>
              <a:ea typeface="+mn-ea"/>
              <a:cs typeface="+mn-cs"/>
            </a:rPr>
            <a:t>》</a:t>
          </a:r>
          <a:endParaRPr kumimoji="1" lang="ja-JP" altLang="en-US" sz="12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・「希望する年収」欄へ「</a:t>
          </a:r>
          <a:r>
            <a:rPr kumimoji="1" lang="en-US" altLang="ja-JP" sz="1100">
              <a:solidFill>
                <a:srgbClr val="FF0000"/>
              </a:solidFill>
              <a:effectLst/>
              <a:latin typeface="+mn-lt"/>
              <a:ea typeface="+mn-ea"/>
              <a:cs typeface="+mn-cs"/>
            </a:rPr>
            <a:t>1000</a:t>
          </a:r>
          <a:r>
            <a:rPr kumimoji="1" lang="ja-JP" altLang="en-US" sz="1100">
              <a:solidFill>
                <a:schemeClr val="dk1"/>
              </a:solidFill>
              <a:effectLst/>
              <a:latin typeface="+mn-lt"/>
              <a:ea typeface="+mn-ea"/>
              <a:cs typeface="+mn-cs"/>
            </a:rPr>
            <a:t>」と入力してみてください。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・グラフがワニが口を開いた形になります。こうなってはいけません。「シミュレーション」シートで、売上を増やす、経費を減らす、年収を下げるなど考えることになります。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説明を加えたい事項は、各ーとの各セルに「コメント」として記載してあります。必ずお読みください。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529165</xdr:colOff>
      <xdr:row>111</xdr:row>
      <xdr:rowOff>53878</xdr:rowOff>
    </xdr:from>
    <xdr:to>
      <xdr:col>11</xdr:col>
      <xdr:colOff>30788</xdr:colOff>
      <xdr:row>126</xdr:row>
      <xdr:rowOff>30788</xdr:rowOff>
    </xdr:to>
    <xdr:sp macro="" textlink="">
      <xdr:nvSpPr>
        <xdr:cNvPr id="3" name="テキスト ボックス 2">
          <a:extLst>
            <a:ext uri="{FF2B5EF4-FFF2-40B4-BE49-F238E27FC236}">
              <a16:creationId xmlns:a16="http://schemas.microsoft.com/office/drawing/2014/main" xmlns="" id="{029856C8-0058-4520-90B3-D872D115935E}"/>
            </a:ext>
          </a:extLst>
        </xdr:cNvPr>
        <xdr:cNvSpPr txBox="1"/>
      </xdr:nvSpPr>
      <xdr:spPr>
        <a:xfrm>
          <a:off x="529165" y="24530242"/>
          <a:ext cx="9938714" cy="251691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r>
            <a:rPr kumimoji="1" lang="ja-JP" altLang="en-US" sz="1100"/>
            <a:t>〇シミュレーションで記載できるのは黄色のセルだけです。　他のセルは、関数が入っていたり、他のシートからリンク貼り付けされている数値です。</a:t>
          </a:r>
        </a:p>
        <a:p>
          <a:r>
            <a:rPr kumimoji="1" lang="ja-JP" altLang="en-US" sz="1100"/>
            <a:t>〇</a:t>
          </a:r>
          <a:r>
            <a:rPr kumimoji="1" lang="en-US" altLang="ja-JP" sz="1100"/>
            <a:t>E</a:t>
          </a:r>
          <a:r>
            <a:rPr kumimoji="1" lang="ja-JP" altLang="en-US" sz="1100"/>
            <a:t>列から右の列で黄色のセルに記載した数値やコメント類は、記入例として記載したものです。削除ください。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他の黄色のセルに入力してある文字や数値も、自分には関係ないと思ったものは削除してください。</a:t>
          </a:r>
          <a:endParaRPr kumimoji="1" lang="ja-JP" altLang="en-US" sz="1100"/>
        </a:p>
        <a:p>
          <a:r>
            <a:rPr kumimoji="1" lang="ja-JP" altLang="en-US" sz="1100"/>
            <a:t>〇「</a:t>
          </a:r>
          <a:r>
            <a:rPr kumimoji="1" lang="en-US" altLang="ja-JP" sz="1100"/>
            <a:t>103</a:t>
          </a:r>
          <a:r>
            <a:rPr kumimoji="1" lang="ja-JP" altLang="en-US" sz="1100"/>
            <a:t>行目」の「照合」欄のコメントに留意ください。</a:t>
          </a:r>
        </a:p>
        <a:p>
          <a:r>
            <a:rPr kumimoji="1" lang="ja-JP" altLang="en-US" sz="1100"/>
            <a:t>〇このシートは、「キャッシュフロー計算書」で現金の流出入をみて、現金不足となれば自動的に金利を払って</a:t>
          </a:r>
          <a:r>
            <a:rPr kumimoji="1" lang="en-US" altLang="ja-JP" sz="1100"/>
            <a:t>(70</a:t>
          </a:r>
          <a:r>
            <a:rPr kumimoji="1" lang="ja-JP" altLang="en-US" sz="1100"/>
            <a:t>行目</a:t>
          </a:r>
          <a:r>
            <a:rPr kumimoji="1" lang="en-US" altLang="ja-JP" sz="1100"/>
            <a:t>)</a:t>
          </a:r>
          <a:r>
            <a:rPr kumimoji="1" lang="ja-JP" altLang="en-US" sz="1100"/>
            <a:t>借入金</a:t>
          </a:r>
          <a:r>
            <a:rPr kumimoji="1" lang="en-US" altLang="ja-JP" sz="1100"/>
            <a:t>(68</a:t>
          </a:r>
          <a:r>
            <a:rPr kumimoji="1" lang="ja-JP" altLang="en-US" sz="1100"/>
            <a:t>行目</a:t>
          </a:r>
          <a:r>
            <a:rPr kumimoji="1" lang="en-US" altLang="ja-JP" sz="1100"/>
            <a:t>)</a:t>
          </a:r>
          <a:r>
            <a:rPr kumimoji="1" lang="ja-JP" altLang="en-US" sz="1100"/>
            <a:t>となるように設定し、常に全体の整合性がとれるようになっています。　このことから、経営活動で資金が余れは預金が多くなり、不足すれば借入金が多くなるという単純でわかりやすい結果となります。</a:t>
          </a:r>
        </a:p>
        <a:p>
          <a:endParaRPr kumimoji="1" lang="ja-JP" altLang="en-US" sz="1100"/>
        </a:p>
        <a:p>
          <a:r>
            <a:rPr kumimoji="1" lang="ja-JP" altLang="en-US" sz="1100"/>
            <a:t>〇「キャッシュフロー計算書」では、資金の使途と源泉の明確にし、何処からどこへ資金が流れたかを起業者へわかりやすく明示しすることも大切にしました。</a:t>
          </a:r>
          <a:endParaRPr kumimoji="1" lang="en-US" altLang="ja-JP" sz="1100"/>
        </a:p>
        <a:p>
          <a:r>
            <a:rPr kumimoji="1" lang="ja-JP" altLang="en-US" sz="1100"/>
            <a:t>〇このシミュレーション結果の良し悪しは、「評価・判断」シートのグラフに表示されます。</a:t>
          </a:r>
          <a:r>
            <a:rPr kumimoji="1" lang="en-US" altLang="ja-JP" sz="1100"/>
            <a:t>(</a:t>
          </a:r>
          <a:r>
            <a:rPr kumimoji="1" lang="ja-JP" altLang="en-US" sz="1100"/>
            <a:t>良し悪しの判断基準は「評価・判断」シートの「説明」をご覧ください</a:t>
          </a:r>
          <a:r>
            <a:rPr kumimoji="1" lang="en-US" altLang="ja-JP" sz="1100"/>
            <a:t>)</a:t>
          </a:r>
          <a:endParaRPr kumimoji="1" lang="ja-JP" altLang="en-US" sz="1100"/>
        </a:p>
        <a:p>
          <a:endParaRPr kumimoji="1" lang="en-US" altLang="ja-JP" sz="1100"/>
        </a:p>
        <a:p>
          <a:endParaRPr kumimoji="1" lang="ja-JP" altLang="en-US" sz="1100"/>
        </a:p>
      </xdr:txBody>
    </xdr:sp>
    <xdr:clientData/>
  </xdr:twoCellAnchor>
  <xdr:twoCellAnchor>
    <xdr:from>
      <xdr:col>4</xdr:col>
      <xdr:colOff>529167</xdr:colOff>
      <xdr:row>9</xdr:row>
      <xdr:rowOff>76969</xdr:rowOff>
    </xdr:from>
    <xdr:to>
      <xdr:col>6</xdr:col>
      <xdr:colOff>86592</xdr:colOff>
      <xdr:row>13</xdr:row>
      <xdr:rowOff>57727</xdr:rowOff>
    </xdr:to>
    <xdr:sp macro="" textlink="">
      <xdr:nvSpPr>
        <xdr:cNvPr id="2" name="四角形吹き出し 1"/>
        <xdr:cNvSpPr/>
      </xdr:nvSpPr>
      <xdr:spPr>
        <a:xfrm>
          <a:off x="5282046" y="2078181"/>
          <a:ext cx="1385455" cy="788940"/>
        </a:xfrm>
        <a:prstGeom prst="wedgeRectCallout">
          <a:avLst>
            <a:gd name="adj1" fmla="val 4167"/>
            <a:gd name="adj2" fmla="val -70427"/>
          </a:avLst>
        </a:prstGeom>
        <a:ln w="317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初年</a:t>
          </a:r>
          <a:r>
            <a:rPr kumimoji="1" lang="en-US" altLang="ja-JP" sz="1100"/>
            <a:t>0.6</a:t>
          </a:r>
          <a:r>
            <a:rPr kumimoji="1" lang="ja-JP" altLang="en-US" sz="1100"/>
            <a:t>、</a:t>
          </a:r>
          <a:r>
            <a:rPr kumimoji="1" lang="en-US" altLang="ja-JP" sz="1100"/>
            <a:t>2</a:t>
          </a:r>
          <a:r>
            <a:rPr kumimoji="1" lang="ja-JP" altLang="en-US" sz="1100"/>
            <a:t>年目</a:t>
          </a:r>
          <a:r>
            <a:rPr kumimoji="1" lang="en-US" altLang="ja-JP" sz="1100"/>
            <a:t>0.8</a:t>
          </a:r>
          <a:r>
            <a:rPr kumimoji="1" lang="ja-JP" altLang="en-US" sz="1100"/>
            <a:t>で</a:t>
          </a:r>
          <a:r>
            <a:rPr kumimoji="1" lang="en-US" altLang="ja-JP" sz="1100"/>
            <a:t>3</a:t>
          </a:r>
          <a:r>
            <a:rPr kumimoji="1" lang="ja-JP" altLang="en-US" sz="1100"/>
            <a:t>年目に軌道にのせる。</a:t>
          </a:r>
        </a:p>
      </xdr:txBody>
    </xdr:sp>
    <xdr:clientData/>
  </xdr:twoCellAnchor>
  <xdr:twoCellAnchor>
    <xdr:from>
      <xdr:col>6</xdr:col>
      <xdr:colOff>250152</xdr:colOff>
      <xdr:row>9</xdr:row>
      <xdr:rowOff>19242</xdr:rowOff>
    </xdr:from>
    <xdr:to>
      <xdr:col>7</xdr:col>
      <xdr:colOff>779319</xdr:colOff>
      <xdr:row>12</xdr:row>
      <xdr:rowOff>57728</xdr:rowOff>
    </xdr:to>
    <xdr:sp macro="" textlink="">
      <xdr:nvSpPr>
        <xdr:cNvPr id="5" name="四角形吹き出し 4"/>
        <xdr:cNvSpPr/>
      </xdr:nvSpPr>
      <xdr:spPr>
        <a:xfrm>
          <a:off x="6831061" y="2020454"/>
          <a:ext cx="1385455" cy="644622"/>
        </a:xfrm>
        <a:prstGeom prst="wedgeRectCallout">
          <a:avLst>
            <a:gd name="adj1" fmla="val 72917"/>
            <a:gd name="adj2" fmla="val -38720"/>
          </a:avLst>
        </a:prstGeom>
        <a:ln w="317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○○を販促。対前年</a:t>
          </a:r>
          <a:r>
            <a:rPr kumimoji="1" lang="en-US" altLang="ja-JP" sz="1100"/>
            <a:t>5%</a:t>
          </a:r>
          <a:r>
            <a:rPr kumimoji="1" lang="ja-JP" altLang="en-US" sz="1100"/>
            <a:t>の売上アップ目標</a:t>
          </a:r>
        </a:p>
      </xdr:txBody>
    </xdr:sp>
    <xdr:clientData/>
  </xdr:twoCellAnchor>
  <xdr:twoCellAnchor>
    <xdr:from>
      <xdr:col>6</xdr:col>
      <xdr:colOff>173182</xdr:colOff>
      <xdr:row>14</xdr:row>
      <xdr:rowOff>86591</xdr:rowOff>
    </xdr:from>
    <xdr:to>
      <xdr:col>7</xdr:col>
      <xdr:colOff>702349</xdr:colOff>
      <xdr:row>17</xdr:row>
      <xdr:rowOff>125076</xdr:rowOff>
    </xdr:to>
    <xdr:sp macro="" textlink="">
      <xdr:nvSpPr>
        <xdr:cNvPr id="11" name="四角形吹き出し 10"/>
        <xdr:cNvSpPr/>
      </xdr:nvSpPr>
      <xdr:spPr>
        <a:xfrm>
          <a:off x="6754091" y="3098030"/>
          <a:ext cx="1385455" cy="644622"/>
        </a:xfrm>
        <a:prstGeom prst="wedgeRectCallout">
          <a:avLst>
            <a:gd name="adj1" fmla="val 73611"/>
            <a:gd name="adj2" fmla="val -56631"/>
          </a:avLst>
        </a:prstGeom>
        <a:ln w="317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新製品。対前年</a:t>
          </a:r>
          <a:r>
            <a:rPr kumimoji="1" lang="en-US" altLang="ja-JP" sz="1100"/>
            <a:t>1.5</a:t>
          </a:r>
          <a:r>
            <a:rPr kumimoji="1" lang="ja-JP" altLang="en-US" sz="1100"/>
            <a:t>倍へ</a:t>
          </a:r>
        </a:p>
      </xdr:txBody>
    </xdr:sp>
    <xdr:clientData/>
  </xdr:twoCellAnchor>
  <xdr:twoCellAnchor>
    <xdr:from>
      <xdr:col>7</xdr:col>
      <xdr:colOff>625379</xdr:colOff>
      <xdr:row>40</xdr:row>
      <xdr:rowOff>144318</xdr:rowOff>
    </xdr:from>
    <xdr:to>
      <xdr:col>9</xdr:col>
      <xdr:colOff>298258</xdr:colOff>
      <xdr:row>43</xdr:row>
      <xdr:rowOff>9621</xdr:rowOff>
    </xdr:to>
    <xdr:sp macro="" textlink="">
      <xdr:nvSpPr>
        <xdr:cNvPr id="14" name="四角形吹き出し 13"/>
        <xdr:cNvSpPr/>
      </xdr:nvSpPr>
      <xdr:spPr>
        <a:xfrm>
          <a:off x="8062576" y="8909242"/>
          <a:ext cx="1385455" cy="384849"/>
        </a:xfrm>
        <a:prstGeom prst="wedgeRectCallout">
          <a:avLst>
            <a:gd name="adj1" fmla="val 56250"/>
            <a:gd name="adj2" fmla="val -137228"/>
          </a:avLst>
        </a:prstGeom>
        <a:ln w="317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2</a:t>
          </a:r>
          <a:r>
            <a:rPr kumimoji="1" lang="ja-JP" altLang="en-US" sz="1100"/>
            <a:t>人目採用</a:t>
          </a:r>
        </a:p>
      </xdr:txBody>
    </xdr:sp>
    <xdr:clientData/>
  </xdr:twoCellAnchor>
  <xdr:twoCellAnchor>
    <xdr:from>
      <xdr:col>5</xdr:col>
      <xdr:colOff>721591</xdr:colOff>
      <xdr:row>62</xdr:row>
      <xdr:rowOff>9622</xdr:rowOff>
    </xdr:from>
    <xdr:to>
      <xdr:col>7</xdr:col>
      <xdr:colOff>586894</xdr:colOff>
      <xdr:row>64</xdr:row>
      <xdr:rowOff>125075</xdr:rowOff>
    </xdr:to>
    <xdr:sp macro="" textlink="">
      <xdr:nvSpPr>
        <xdr:cNvPr id="17" name="四角形吹き出し 16"/>
        <xdr:cNvSpPr/>
      </xdr:nvSpPr>
      <xdr:spPr>
        <a:xfrm>
          <a:off x="6446212" y="14037349"/>
          <a:ext cx="1577879" cy="586893"/>
        </a:xfrm>
        <a:prstGeom prst="wedgeRectCallout">
          <a:avLst>
            <a:gd name="adj1" fmla="val 33689"/>
            <a:gd name="adj2" fmla="val -109359"/>
          </a:avLst>
        </a:prstGeom>
        <a:ln w="317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新製品用の設備投資。資金調達未定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468506</xdr:colOff>
      <xdr:row>55</xdr:row>
      <xdr:rowOff>16809</xdr:rowOff>
    </xdr:from>
    <xdr:to>
      <xdr:col>15</xdr:col>
      <xdr:colOff>483576</xdr:colOff>
      <xdr:row>77</xdr:row>
      <xdr:rowOff>84667</xdr:rowOff>
    </xdr:to>
    <xdr:sp macro="" textlink="">
      <xdr:nvSpPr>
        <xdr:cNvPr id="2" name="テキスト ボックス 1">
          <a:extLst>
            <a:ext uri="{FF2B5EF4-FFF2-40B4-BE49-F238E27FC236}">
              <a16:creationId xmlns:a16="http://schemas.microsoft.com/office/drawing/2014/main" xmlns="" id="{021ABBC7-742A-4E9C-BBCE-94D3BA80AD85}"/>
            </a:ext>
          </a:extLst>
        </xdr:cNvPr>
        <xdr:cNvSpPr txBox="1"/>
      </xdr:nvSpPr>
      <xdr:spPr>
        <a:xfrm>
          <a:off x="9004445" y="9922809"/>
          <a:ext cx="2785979" cy="379319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endParaRPr kumimoji="1" lang="ja-JP" altLang="en-US" sz="1400"/>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年間トータルでは</a:t>
          </a:r>
          <a:r>
            <a:rPr kumimoji="1" lang="ja-JP" altLang="en-US" sz="1100">
              <a:solidFill>
                <a:schemeClr val="dk1"/>
              </a:solidFill>
              <a:effectLst/>
              <a:latin typeface="+mn-lt"/>
              <a:ea typeface="+mn-ea"/>
              <a:cs typeface="+mn-cs"/>
            </a:rPr>
            <a:t>、資金の過不足はない場合でも、「資金繰り表」作って</a:t>
          </a:r>
          <a:r>
            <a:rPr kumimoji="1" lang="ja-JP" altLang="ja-JP" sz="1100">
              <a:solidFill>
                <a:schemeClr val="dk1"/>
              </a:solidFill>
              <a:effectLst/>
              <a:latin typeface="+mn-lt"/>
              <a:ea typeface="+mn-ea"/>
              <a:cs typeface="+mn-cs"/>
            </a:rPr>
            <a:t>月々</a:t>
          </a:r>
          <a:r>
            <a:rPr kumimoji="1" lang="ja-JP" altLang="en-US" sz="1100">
              <a:solidFill>
                <a:schemeClr val="dk1"/>
              </a:solidFill>
              <a:effectLst/>
              <a:latin typeface="+mn-lt"/>
              <a:ea typeface="+mn-ea"/>
              <a:cs typeface="+mn-cs"/>
            </a:rPr>
            <a:t>をみると</a:t>
          </a:r>
          <a:r>
            <a:rPr kumimoji="1" lang="ja-JP" altLang="ja-JP" sz="1100">
              <a:solidFill>
                <a:schemeClr val="dk1"/>
              </a:solidFill>
              <a:effectLst/>
              <a:latin typeface="+mn-lt"/>
              <a:ea typeface="+mn-ea"/>
              <a:cs typeface="+mn-cs"/>
            </a:rPr>
            <a:t>資金の過不足が生じます</a:t>
          </a:r>
          <a:r>
            <a:rPr kumimoji="1" lang="ja-JP" altLang="en-US" sz="1100">
              <a:solidFill>
                <a:schemeClr val="dk1"/>
              </a:solidFill>
              <a:effectLst/>
              <a:latin typeface="+mn-lt"/>
              <a:ea typeface="+mn-ea"/>
              <a:cs typeface="+mn-cs"/>
            </a:rPr>
            <a:t>。</a:t>
          </a:r>
        </a:p>
        <a:p>
          <a:pPr eaLnBrk="1" fontAlgn="auto" latinLnBrk="0" hangingPunct="1"/>
          <a:endParaRPr kumimoji="1" lang="ja-JP" altLang="en-US" sz="1100">
            <a:solidFill>
              <a:schemeClr val="dk1"/>
            </a:solidFill>
            <a:effectLst/>
            <a:latin typeface="+mn-lt"/>
            <a:ea typeface="+mn-ea"/>
            <a:cs typeface="+mn-cs"/>
          </a:endParaRPr>
        </a:p>
        <a:p>
          <a:pPr eaLnBrk="1" fontAlgn="auto" latinLnBrk="0" hangingPunct="1"/>
          <a:r>
            <a:rPr kumimoji="1" lang="ja-JP" altLang="en-US" sz="1100"/>
            <a:t>・この「資金繰り表」は、先々の資金の過不足を知り融資その他の対応の必要性を教えてくれる資料です。</a:t>
          </a:r>
        </a:p>
        <a:p>
          <a:pPr eaLnBrk="1" fontAlgn="auto" latinLnBrk="0" hangingPunct="1"/>
          <a:endParaRPr kumimoji="1" lang="ja-JP" altLang="en-US" sz="1100"/>
        </a:p>
        <a:p>
          <a:pPr eaLnBrk="1" fontAlgn="auto" latinLnBrk="0" hangingPunct="1"/>
          <a:r>
            <a:rPr kumimoji="1" lang="ja-JP" altLang="en-US" sz="1100"/>
            <a:t>・売上する活動と、資金手当する活動は車の両輪みたいなものです。</a:t>
          </a:r>
        </a:p>
        <a:p>
          <a:pPr eaLnBrk="1" fontAlgn="auto" latinLnBrk="0" hangingPunct="1"/>
          <a:endParaRPr kumimoji="1" lang="ja-JP" altLang="en-US" sz="1100"/>
        </a:p>
        <a:p>
          <a:pPr eaLnBrk="1" fontAlgn="auto" latinLnBrk="0" hangingPunct="1"/>
          <a:r>
            <a:rPr kumimoji="1" lang="ja-JP" altLang="en-US" sz="1100"/>
            <a:t>・融資申込みをする場合には、必ず金融機関から提出を求められるでしょう。常に作成する習慣をつけて、できれば、資金不足となるであろう</a:t>
          </a:r>
          <a:r>
            <a:rPr kumimoji="1" lang="en-US" altLang="ja-JP" sz="1100"/>
            <a:t>6</a:t>
          </a:r>
          <a:r>
            <a:rPr kumimoji="1" lang="ja-JP" altLang="en-US" sz="1100"/>
            <a:t>カ月前、少なくとも</a:t>
          </a:r>
          <a:r>
            <a:rPr kumimoji="1" lang="en-US" altLang="ja-JP" sz="1100"/>
            <a:t>3</a:t>
          </a:r>
          <a:r>
            <a:rPr kumimoji="1" lang="ja-JP" altLang="en-US" sz="1100"/>
            <a:t>カ月前には対策を練るようにしたいものです。</a:t>
          </a:r>
        </a:p>
        <a:p>
          <a:pPr eaLnBrk="1" fontAlgn="auto" latinLnBrk="0" hangingPunct="1"/>
          <a:endParaRPr kumimoji="1" lang="ja-JP" altLang="en-US" sz="1100"/>
        </a:p>
        <a:p>
          <a:pPr eaLnBrk="1" fontAlgn="auto" latinLnBrk="0" hangingPunct="1"/>
          <a:endParaRPr kumimoji="1" lang="ja-JP" altLang="en-US" sz="1100"/>
        </a:p>
        <a:p>
          <a:pPr eaLnBrk="1" fontAlgn="auto" latinLnBrk="0" hangingPunct="1"/>
          <a:endParaRPr kumimoji="1" lang="ja-JP" altLang="en-US" sz="1100"/>
        </a:p>
        <a:p>
          <a:endParaRPr kumimoji="1" lang="ja-JP" altLang="en-US" sz="1100"/>
        </a:p>
      </xdr:txBody>
    </xdr:sp>
    <xdr:clientData/>
  </xdr:twoCellAnchor>
  <xdr:twoCellAnchor>
    <xdr:from>
      <xdr:col>14</xdr:col>
      <xdr:colOff>567453</xdr:colOff>
      <xdr:row>42</xdr:row>
      <xdr:rowOff>48618</xdr:rowOff>
    </xdr:from>
    <xdr:to>
      <xdr:col>15</xdr:col>
      <xdr:colOff>462485</xdr:colOff>
      <xdr:row>44</xdr:row>
      <xdr:rowOff>12765</xdr:rowOff>
    </xdr:to>
    <xdr:sp macro="" textlink="">
      <xdr:nvSpPr>
        <xdr:cNvPr id="3" name="右中かっこ 2">
          <a:extLst>
            <a:ext uri="{FF2B5EF4-FFF2-40B4-BE49-F238E27FC236}">
              <a16:creationId xmlns:a16="http://schemas.microsoft.com/office/drawing/2014/main" xmlns="" id="{FB365535-E3FD-2E40-1A6B-C0774BBC3261}"/>
            </a:ext>
          </a:extLst>
        </xdr:cNvPr>
        <xdr:cNvSpPr/>
      </xdr:nvSpPr>
      <xdr:spPr>
        <a:xfrm rot="5400000">
          <a:off x="11324047" y="7595418"/>
          <a:ext cx="302813" cy="5877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125964</xdr:colOff>
      <xdr:row>55</xdr:row>
      <xdr:rowOff>21562</xdr:rowOff>
    </xdr:from>
    <xdr:to>
      <xdr:col>11</xdr:col>
      <xdr:colOff>334219</xdr:colOff>
      <xdr:row>104</xdr:row>
      <xdr:rowOff>15394</xdr:rowOff>
    </xdr:to>
    <xdr:sp macro="" textlink="">
      <xdr:nvSpPr>
        <xdr:cNvPr id="5" name="テキスト ボックス 4">
          <a:extLst>
            <a:ext uri="{FF2B5EF4-FFF2-40B4-BE49-F238E27FC236}">
              <a16:creationId xmlns:a16="http://schemas.microsoft.com/office/drawing/2014/main" xmlns="" id="{939A0C0F-3572-4D4F-8FB1-0993551A9B54}"/>
            </a:ext>
          </a:extLst>
        </xdr:cNvPr>
        <xdr:cNvSpPr txBox="1"/>
      </xdr:nvSpPr>
      <xdr:spPr>
        <a:xfrm>
          <a:off x="1349782" y="9927562"/>
          <a:ext cx="7520376" cy="829116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行ってほしいこと</a:t>
          </a:r>
          <a:r>
            <a:rPr kumimoji="1" lang="en-US" altLang="ja-JP" sz="1400"/>
            <a:t>】</a:t>
          </a:r>
          <a:endParaRPr kumimoji="1" lang="ja-JP" altLang="en-US"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見積損益計算書の売上をあげるために営業活動をします。資金繰り表は、その営業活動に沿って流れる先々のお金の動きを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見える化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するものと位置づけています。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変更</a:t>
          </a:r>
          <a:r>
            <a:rPr kumimoji="1" lang="ja-JP" altLang="ja-JP" sz="1100">
              <a:solidFill>
                <a:schemeClr val="dk1"/>
              </a:solidFill>
              <a:effectLst/>
              <a:latin typeface="+mn-lt"/>
              <a:ea typeface="+mn-ea"/>
              <a:cs typeface="+mn-cs"/>
            </a:rPr>
            <a:t>できるのは黄色セルだけです。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年間売上高</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行目の季節指数を</a:t>
          </a:r>
          <a:r>
            <a:rPr kumimoji="1" lang="ja-JP" altLang="en-US" sz="1100">
              <a:solidFill>
                <a:srgbClr val="FF0000"/>
              </a:solidFill>
              <a:effectLst/>
              <a:latin typeface="+mn-lt"/>
              <a:ea typeface="+mn-ea"/>
              <a:cs typeface="+mn-cs"/>
            </a:rPr>
            <a:t>何度も</a:t>
          </a:r>
          <a:r>
            <a:rPr kumimoji="1" lang="ja-JP" altLang="ja-JP" sz="1100">
              <a:solidFill>
                <a:srgbClr val="FF0000"/>
              </a:solidFill>
              <a:effectLst/>
              <a:latin typeface="+mn-lt"/>
              <a:ea typeface="+mn-ea"/>
              <a:cs typeface="+mn-cs"/>
            </a:rPr>
            <a:t>変えてみてください。</a:t>
          </a:r>
          <a:endParaRPr kumimoji="1" lang="ja-JP" altLang="en-US"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夏場が忙しいとか、冬は暇だが暮れは忙しいなどを考えて、合計が必ず「</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」になるようにして各月の数値を増減してみてください。</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・その結果、どこの数値がどのように変わるかをご覧ください。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行目の「翌月現金」に、どのような場合に不足が生じるかについて、少し極端に季節指数を変更してみてください。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b5</a:t>
          </a:r>
          <a:r>
            <a:rPr kumimoji="1" lang="ja-JP" altLang="en-US" sz="1100">
              <a:solidFill>
                <a:schemeClr val="dk1"/>
              </a:solidFill>
              <a:effectLst/>
              <a:latin typeface="+mn-lt"/>
              <a:ea typeface="+mn-ea"/>
              <a:cs typeface="+mn-cs"/>
            </a:rPr>
            <a:t>セルの「現金割合」を「コメント」を読み変えてみてください。次に、</a:t>
          </a:r>
          <a:r>
            <a:rPr kumimoji="1" lang="en-US" altLang="ja-JP" sz="1100">
              <a:solidFill>
                <a:schemeClr val="dk1"/>
              </a:solidFill>
              <a:effectLst/>
              <a:latin typeface="+mn-lt"/>
              <a:ea typeface="+mn-ea"/>
              <a:cs typeface="+mn-cs"/>
            </a:rPr>
            <a:t>c7</a:t>
          </a:r>
          <a:r>
            <a:rPr kumimoji="1" lang="ja-JP" altLang="en-US" sz="1100">
              <a:solidFill>
                <a:schemeClr val="dk1"/>
              </a:solidFill>
              <a:effectLst/>
              <a:latin typeface="+mn-lt"/>
              <a:ea typeface="+mn-ea"/>
              <a:cs typeface="+mn-cs"/>
            </a:rPr>
            <a:t>セルの「売掛金回収」期間も同様に変えてみてください。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仕入欄についても同様に動かしてみてください。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・特に、どのようにすると資金不足は最大になるかを確認ください。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・基本は、売掛回収は早く、それにあった買掛支払いや経費支払いをすることです。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行目の「翌月現金へ」に資金不足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がありますか？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・その金額を事業主がポケットマネー？から手当できる場合は、「事業主借」欄へ不足額以上をコメントを読み記入ください。そして、同額を年末までには「事業主貸</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２」のコメントを読み返却ください。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融資申込で金融機関に提出するのでなければ、シミュレーションの途上では、資金不足でもそのままにしておいて結構です。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・「シミュレーション」シートでは、資金不足は自動的に金利を払って借りる設定となっています。上の表の「新規借入金」</a:t>
          </a:r>
          <a:r>
            <a:rPr kumimoji="1" lang="en-US" altLang="ja-JP" sz="1100">
              <a:solidFill>
                <a:schemeClr val="dk1"/>
              </a:solidFill>
              <a:effectLst/>
              <a:latin typeface="+mn-lt"/>
              <a:ea typeface="+mn-ea"/>
              <a:cs typeface="+mn-cs"/>
            </a:rPr>
            <a:t>(d31)</a:t>
          </a:r>
          <a:r>
            <a:rPr kumimoji="1" lang="ja-JP" altLang="en-US" sz="1100">
              <a:solidFill>
                <a:schemeClr val="dk1"/>
              </a:solidFill>
              <a:effectLst/>
              <a:latin typeface="+mn-lt"/>
              <a:ea typeface="+mn-ea"/>
              <a:cs typeface="+mn-cs"/>
            </a:rPr>
            <a:t>に金額がある場合は、その資金不足の金額です。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上の表で季節指数を設定し、売掛金と買掛金の現金との割合、回収支払サイトを変えると、それを基に「シミュレーション」シートで計算し不足金額が確定します。それは常に不足する金額ですので、予め運転資金として借入するのが普通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〇その場合は、運転資金の借り入れを行いますので次のことをしてください。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・「運転資金」欄の黄色のセルに資金不足額に、資金不足がなくなる金額を記入してください。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運転資金は、平均売上の</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カ月程度以内にしてください。　それ以上の金額を入れないと解消しない場合は、経営外へ資金を出すとか、何かの無茶している理由があると思います。「シミュレーション」シートの「キャッシュフロー計算書」をみるとわかる場合があります。明らかに通常予定できる利益額など以上の支出があるはずです。　なお、運転資金欄の金利、返済回数は、入力してある数値でよいでしょう。</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運転資金欄に金額を記入すると、「シミュレーション」シート自体が変更され、</a:t>
          </a:r>
          <a:r>
            <a:rPr kumimoji="1" lang="ja-JP" altLang="ja-JP" sz="1100">
              <a:solidFill>
                <a:schemeClr val="dk1"/>
              </a:solidFill>
              <a:effectLst/>
              <a:latin typeface="+mn-lt"/>
              <a:ea typeface="+mn-ea"/>
              <a:cs typeface="+mn-cs"/>
            </a:rPr>
            <a:t>「新規借入金」</a:t>
          </a:r>
          <a:r>
            <a:rPr kumimoji="1" lang="en-US" altLang="ja-JP" sz="1100">
              <a:solidFill>
                <a:schemeClr val="dk1"/>
              </a:solidFill>
              <a:effectLst/>
              <a:latin typeface="+mn-lt"/>
              <a:ea typeface="+mn-ea"/>
              <a:cs typeface="+mn-cs"/>
            </a:rPr>
            <a:t>(d31)</a:t>
          </a:r>
          <a:r>
            <a:rPr kumimoji="1" lang="ja-JP" altLang="en-US" sz="1100">
              <a:solidFill>
                <a:schemeClr val="dk1"/>
              </a:solidFill>
              <a:effectLst/>
              <a:latin typeface="+mn-lt"/>
              <a:ea typeface="+mn-ea"/>
              <a:cs typeface="+mn-cs"/>
            </a:rPr>
            <a:t>欄の金額自体が変わります。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◎次の確認をしてください。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o42</a:t>
          </a:r>
          <a:r>
            <a:rPr kumimoji="1" lang="ja-JP" altLang="ja-JP" sz="1100">
              <a:solidFill>
                <a:schemeClr val="dk1"/>
              </a:solidFill>
              <a:effectLst/>
              <a:latin typeface="+mn-lt"/>
              <a:ea typeface="+mn-ea"/>
              <a:cs typeface="+mn-cs"/>
            </a:rPr>
            <a:t>」セルは、</a:t>
          </a:r>
          <a:r>
            <a:rPr kumimoji="1" lang="ja-JP" altLang="en-US" sz="1100">
              <a:solidFill>
                <a:schemeClr val="dk1"/>
              </a:solidFill>
              <a:effectLst/>
              <a:latin typeface="+mn-lt"/>
              <a:ea typeface="+mn-ea"/>
              <a:cs typeface="+mn-cs"/>
            </a:rPr>
            <a:t>この資金繰り表で計算された次期への現金繰越金です。</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p42</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「シミュレーション」シートの「</a:t>
          </a:r>
          <a:r>
            <a:rPr kumimoji="1" lang="en-US" altLang="ja-JP" sz="1100">
              <a:solidFill>
                <a:schemeClr val="dk1"/>
              </a:solidFill>
              <a:effectLst/>
              <a:latin typeface="+mn-lt"/>
              <a:ea typeface="+mn-ea"/>
              <a:cs typeface="+mn-cs"/>
            </a:rPr>
            <a:t>E71</a:t>
          </a:r>
          <a:r>
            <a:rPr kumimoji="1" lang="ja-JP" altLang="en-US" sz="1100">
              <a:solidFill>
                <a:schemeClr val="dk1"/>
              </a:solidFill>
              <a:effectLst/>
              <a:latin typeface="+mn-lt"/>
              <a:ea typeface="+mn-ea"/>
              <a:cs typeface="+mn-cs"/>
            </a:rPr>
            <a:t>」セルで繰り越されるとした現金です。端数調整の仕方により若干異なる場合がありますが</a:t>
          </a:r>
          <a:r>
            <a:rPr kumimoji="1" lang="ja-JP" altLang="ja-JP" sz="1100">
              <a:solidFill>
                <a:schemeClr val="dk1"/>
              </a:solidFill>
              <a:effectLst/>
              <a:latin typeface="+mn-lt"/>
              <a:ea typeface="+mn-ea"/>
              <a:cs typeface="+mn-cs"/>
            </a:rPr>
            <a:t>合致するはずです。</a:t>
          </a:r>
          <a:r>
            <a:rPr kumimoji="1" lang="ja-JP" altLang="en-US" sz="1100">
              <a:solidFill>
                <a:schemeClr val="dk1"/>
              </a:solidFill>
              <a:effectLst/>
              <a:latin typeface="+mn-lt"/>
              <a:ea typeface="+mn-ea"/>
              <a:cs typeface="+mn-cs"/>
            </a:rPr>
            <a:t>違う場合は、入力ミスか間違い探しもしてみてください。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a:t>
          </a:r>
          <a:r>
            <a:rPr kumimoji="1" lang="ja-JP" altLang="en-US" sz="1100" u="sng">
              <a:solidFill>
                <a:srgbClr val="FF0000"/>
              </a:solidFill>
              <a:effectLst/>
              <a:latin typeface="+mn-lt"/>
              <a:ea typeface="+mn-ea"/>
              <a:cs typeface="+mn-cs"/>
            </a:rPr>
            <a:t>何度も設定数値を変えてみて、どのように動くかを知ってください。　起業して資金不足で融資を申し込むと、この資金繰り表を求められます。忙しいときに事業に中々専念できないことがあります。様式は、金融機関など専用のものがあります。ここでは、いろいろと数値を変えると、どのようにお金の流れが変わるか仕組みを覚え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endParaRPr kumimoji="1" lang="ja-JP" altLang="en-US" sz="1100"/>
        </a:p>
        <a:p>
          <a:endParaRPr kumimoji="1" lang="ja-JP" altLang="en-US" sz="1100"/>
        </a:p>
      </xdr:txBody>
    </xdr:sp>
    <xdr:clientData/>
  </xdr:twoCellAnchor>
  <xdr:twoCellAnchor>
    <xdr:from>
      <xdr:col>5</xdr:col>
      <xdr:colOff>342122</xdr:colOff>
      <xdr:row>46</xdr:row>
      <xdr:rowOff>23327</xdr:rowOff>
    </xdr:from>
    <xdr:to>
      <xdr:col>8</xdr:col>
      <xdr:colOff>567612</xdr:colOff>
      <xdr:row>53</xdr:row>
      <xdr:rowOff>124408</xdr:rowOff>
    </xdr:to>
    <xdr:sp macro="" textlink="">
      <xdr:nvSpPr>
        <xdr:cNvPr id="7" name="正方形/長方形 6">
          <a:extLst>
            <a:ext uri="{FF2B5EF4-FFF2-40B4-BE49-F238E27FC236}">
              <a16:creationId xmlns:a16="http://schemas.microsoft.com/office/drawing/2014/main" xmlns="" id="{2E1DC997-D816-45E7-B3C8-2BD7B2B73B29}"/>
            </a:ext>
          </a:extLst>
        </xdr:cNvPr>
        <xdr:cNvSpPr/>
      </xdr:nvSpPr>
      <xdr:spPr>
        <a:xfrm>
          <a:off x="4727510" y="8451980"/>
          <a:ext cx="2301551" cy="1314061"/>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369454</xdr:colOff>
      <xdr:row>44</xdr:row>
      <xdr:rowOff>69274</xdr:rowOff>
    </xdr:from>
    <xdr:to>
      <xdr:col>16</xdr:col>
      <xdr:colOff>46182</xdr:colOff>
      <xdr:row>51</xdr:row>
      <xdr:rowOff>92363</xdr:rowOff>
    </xdr:to>
    <xdr:sp macro="" textlink="">
      <xdr:nvSpPr>
        <xdr:cNvPr id="4" name="テキスト ボックス 3">
          <a:extLst>
            <a:ext uri="{FF2B5EF4-FFF2-40B4-BE49-F238E27FC236}">
              <a16:creationId xmlns:a16="http://schemas.microsoft.com/office/drawing/2014/main" xmlns="" id="{4776CAE1-875C-82BA-217B-77B001828FD5}"/>
            </a:ext>
          </a:extLst>
        </xdr:cNvPr>
        <xdr:cNvSpPr txBox="1"/>
      </xdr:nvSpPr>
      <xdr:spPr>
        <a:xfrm>
          <a:off x="9598121" y="8097213"/>
          <a:ext cx="2293697" cy="122381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左は当「資金繰り表」の期末現金、右の□内は貸借対照表の期末現金の数値です。　合致するはずです。端数処理</a:t>
          </a:r>
          <a:r>
            <a:rPr kumimoji="1" lang="en-US" altLang="ja-JP" sz="1000"/>
            <a:t>±2</a:t>
          </a:r>
          <a:r>
            <a:rPr kumimoji="1" lang="ja-JP" altLang="en-US" sz="1000"/>
            <a:t>程度の誤差は出ますが、それ以上の場合は間違いです。誤入力など確認ください。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212792</xdr:colOff>
      <xdr:row>38</xdr:row>
      <xdr:rowOff>26459</xdr:rowOff>
    </xdr:from>
    <xdr:to>
      <xdr:col>25</xdr:col>
      <xdr:colOff>3262819</xdr:colOff>
      <xdr:row>63</xdr:row>
      <xdr:rowOff>141862</xdr:rowOff>
    </xdr:to>
    <xdr:sp macro="" textlink="">
      <xdr:nvSpPr>
        <xdr:cNvPr id="3" name="テキスト ボックス 2">
          <a:extLst>
            <a:ext uri="{FF2B5EF4-FFF2-40B4-BE49-F238E27FC236}">
              <a16:creationId xmlns:a16="http://schemas.microsoft.com/office/drawing/2014/main" xmlns="" id="{22A42807-AB76-48A5-825E-FF317F8CAD83}"/>
            </a:ext>
          </a:extLst>
        </xdr:cNvPr>
        <xdr:cNvSpPr txBox="1"/>
      </xdr:nvSpPr>
      <xdr:spPr>
        <a:xfrm>
          <a:off x="12341968" y="8416565"/>
          <a:ext cx="8055718" cy="515149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r>
            <a:rPr kumimoji="1" lang="ja-JP" altLang="en-US" sz="1100"/>
            <a:t>◎記入できるのは黄色のセルだけです。　</a:t>
          </a:r>
        </a:p>
        <a:p>
          <a:r>
            <a:rPr kumimoji="1" lang="ja-JP" altLang="en-US" sz="1100"/>
            <a:t>◎説明や留意点などの「コメント」表示されていないものも含め多くあります。必ずお読みください。</a:t>
          </a:r>
        </a:p>
        <a:p>
          <a:endParaRPr kumimoji="1" lang="ja-JP" altLang="en-US" sz="1100"/>
        </a:p>
        <a:p>
          <a:r>
            <a:rPr kumimoji="1" lang="ja-JP" altLang="en-US" sz="1100"/>
            <a:t>◎積算は、軌道にのった年の目標値で記載します。</a:t>
          </a:r>
        </a:p>
        <a:p>
          <a:endParaRPr kumimoji="1" lang="ja-JP" altLang="en-US" sz="1100"/>
        </a:p>
        <a:p>
          <a:r>
            <a:rPr kumimoji="1" lang="ja-JP" altLang="en-US" sz="1100"/>
            <a:t>◎もし、積算ができない場合は、左側に記載した・・「粗利益率」や「経費」がわからない場合・・」欄を参考に記載ください。</a:t>
          </a:r>
        </a:p>
        <a:p>
          <a:r>
            <a:rPr kumimoji="1" lang="ja-JP" altLang="en-US" sz="1100"/>
            <a:t>・なお、諸経費に含まれる内容、売上高の設定方法などに疑義もあることから、シミュレーションをしてみるための仮の数値としての使用として、別途必ず積算をしてください。</a:t>
          </a:r>
        </a:p>
        <a:p>
          <a:r>
            <a:rPr kumimoji="1" lang="ja-JP" altLang="en-US" sz="1100"/>
            <a:t>　　</a:t>
          </a:r>
        </a:p>
        <a:p>
          <a:r>
            <a:rPr kumimoji="1" lang="en-US" altLang="ja-JP" sz="1100" u="sng">
              <a:solidFill>
                <a:srgbClr val="FF0000"/>
              </a:solidFill>
            </a:rPr>
            <a:t>※</a:t>
          </a:r>
          <a:r>
            <a:rPr kumimoji="1" lang="ja-JP" altLang="en-US" sz="1100" u="sng">
              <a:solidFill>
                <a:srgbClr val="FF0000"/>
              </a:solidFill>
            </a:rPr>
            <a:t>どの積算方法の場合も、一番大切な「どんなお客様」なのかには触れていません、必ず支援機関の専門家への相談を勧めます。まず、ここでは夢が数値に裏づけられたものになること、起業した場合のお金の流れの仕組みを知ることを主眼において、あれこれ起業した場合にはできないような思い切った数値の入力をして、その場合全体がどうなるかをシミュレーションしてみてください。</a:t>
          </a:r>
        </a:p>
        <a:p>
          <a:endParaRPr kumimoji="1" lang="ja-JP" altLang="en-US" sz="1100"/>
        </a:p>
        <a:p>
          <a:r>
            <a:rPr kumimoji="1" lang="ja-JP" altLang="en-US" sz="1100"/>
            <a:t>◎市場規模について</a:t>
          </a:r>
        </a:p>
        <a:p>
          <a:r>
            <a:rPr kumimoji="1" lang="ja-JP" altLang="en-US" sz="1100"/>
            <a:t>・左側の下方に「人口」</a:t>
          </a:r>
          <a:r>
            <a:rPr kumimoji="1" lang="en-US" altLang="ja-JP" sz="1100"/>
            <a:t>(</a:t>
          </a:r>
          <a:r>
            <a:rPr kumimoji="1" lang="ja-JP" altLang="en-US" sz="1100"/>
            <a:t>全国市町村の</a:t>
          </a:r>
          <a:r>
            <a:rPr kumimoji="1" lang="en-US" altLang="ja-JP" sz="1100"/>
            <a:t>"</a:t>
          </a:r>
          <a:r>
            <a:rPr kumimoji="1" lang="ja-JP" altLang="en-US" sz="1100"/>
            <a:t>大字</a:t>
          </a:r>
          <a:r>
            <a:rPr kumimoji="1" lang="en-US" altLang="ja-JP" sz="1100"/>
            <a:t>"</a:t>
          </a:r>
          <a:r>
            <a:rPr kumimoji="1" lang="ja-JP" altLang="en-US" sz="1100"/>
            <a:t>単位で男女別、年齢階層別</a:t>
          </a:r>
          <a:r>
            <a:rPr kumimoji="1" lang="en-US" altLang="ja-JP" sz="1100"/>
            <a:t>)</a:t>
          </a:r>
          <a:r>
            <a:rPr kumimoji="1" lang="ja-JP" altLang="en-US" sz="1100"/>
            <a:t>、「事業所、従業者」</a:t>
          </a:r>
          <a:r>
            <a:rPr kumimoji="1" lang="en-US" altLang="ja-JP" sz="1100"/>
            <a:t>(</a:t>
          </a:r>
          <a:r>
            <a:rPr kumimoji="1" lang="ja-JP" altLang="ja-JP" sz="1100">
              <a:solidFill>
                <a:schemeClr val="dk1"/>
              </a:solidFill>
              <a:effectLst/>
              <a:latin typeface="+mn-lt"/>
              <a:ea typeface="+mn-ea"/>
              <a:cs typeface="+mn-cs"/>
            </a:rPr>
            <a:t>全国市町村の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単位</a:t>
          </a:r>
          <a:r>
            <a:rPr kumimoji="1" lang="ja-JP" altLang="en-US" sz="1100">
              <a:solidFill>
                <a:schemeClr val="dk1"/>
              </a:solidFill>
              <a:effectLst/>
              <a:latin typeface="+mn-lt"/>
              <a:ea typeface="+mn-ea"/>
              <a:cs typeface="+mn-cs"/>
            </a:rPr>
            <a:t>の事業所数と従業者数</a:t>
          </a:r>
          <a:r>
            <a:rPr kumimoji="1" lang="en-US" altLang="ja-JP" sz="1100"/>
            <a:t>)</a:t>
          </a:r>
          <a:r>
            <a:rPr kumimoji="1" lang="ja-JP" altLang="en-US" sz="1100"/>
            <a:t>及び「消費支出」</a:t>
          </a:r>
          <a:r>
            <a:rPr kumimoji="1" lang="en-US" altLang="ja-JP" sz="1100"/>
            <a:t>(</a:t>
          </a:r>
          <a:r>
            <a:rPr kumimoji="1" lang="ja-JP" altLang="en-US" sz="1100"/>
            <a:t>人口一人当たり消費支出</a:t>
          </a:r>
          <a:r>
            <a:rPr kumimoji="1" lang="en-US" altLang="ja-JP" sz="1100"/>
            <a:t>)</a:t>
          </a:r>
          <a:r>
            <a:rPr kumimoji="1" lang="ja-JP" altLang="en-US" sz="1100"/>
            <a:t>について紹介してあります。</a:t>
          </a:r>
        </a:p>
        <a:p>
          <a:r>
            <a:rPr kumimoji="1" lang="ja-JP" altLang="en-US" sz="1100" u="sng">
              <a:solidFill>
                <a:srgbClr val="FF0000"/>
              </a:solidFill>
            </a:rPr>
            <a:t>・市場規模は、対象となる品目の消費支出</a:t>
          </a:r>
          <a:r>
            <a:rPr kumimoji="1" lang="en-US" altLang="ja-JP" sz="1100" u="sng">
              <a:solidFill>
                <a:srgbClr val="FF0000"/>
              </a:solidFill>
            </a:rPr>
            <a:t>×</a:t>
          </a:r>
          <a:r>
            <a:rPr kumimoji="1" lang="ja-JP" altLang="en-US" sz="1100" u="sng">
              <a:solidFill>
                <a:srgbClr val="FF0000"/>
              </a:solidFill>
            </a:rPr>
            <a:t>対象エリアの人口でもあります。起業でエリアを対象にするメニューがある場合にはご覧ください。</a:t>
          </a:r>
        </a:p>
        <a:p>
          <a:endParaRPr kumimoji="1" lang="ja-JP" altLang="en-US" sz="1100"/>
        </a:p>
        <a:p>
          <a:endParaRPr kumimoji="1" lang="ja-JP" altLang="en-US" sz="1100"/>
        </a:p>
      </xdr:txBody>
    </xdr:sp>
    <xdr:clientData/>
  </xdr:twoCellAnchor>
  <xdr:twoCellAnchor>
    <xdr:from>
      <xdr:col>0</xdr:col>
      <xdr:colOff>131729</xdr:colOff>
      <xdr:row>65</xdr:row>
      <xdr:rowOff>101330</xdr:rowOff>
    </xdr:from>
    <xdr:to>
      <xdr:col>25</xdr:col>
      <xdr:colOff>192526</xdr:colOff>
      <xdr:row>89</xdr:row>
      <xdr:rowOff>81064</xdr:rowOff>
    </xdr:to>
    <xdr:sp macro="" textlink="">
      <xdr:nvSpPr>
        <xdr:cNvPr id="4" name="正方形/長方形 3"/>
        <xdr:cNvSpPr/>
      </xdr:nvSpPr>
      <xdr:spPr>
        <a:xfrm>
          <a:off x="131729" y="15351463"/>
          <a:ext cx="16729547" cy="5147553"/>
        </a:xfrm>
        <a:prstGeom prst="rect">
          <a:avLst/>
        </a:prstGeom>
        <a:noFill/>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70931</xdr:colOff>
      <xdr:row>38</xdr:row>
      <xdr:rowOff>30399</xdr:rowOff>
    </xdr:from>
    <xdr:to>
      <xdr:col>15</xdr:col>
      <xdr:colOff>435718</xdr:colOff>
      <xdr:row>62</xdr:row>
      <xdr:rowOff>141863</xdr:rowOff>
    </xdr:to>
    <xdr:sp macro="" textlink="">
      <xdr:nvSpPr>
        <xdr:cNvPr id="6" name="正方形/長方形 5"/>
        <xdr:cNvSpPr/>
      </xdr:nvSpPr>
      <xdr:spPr>
        <a:xfrm>
          <a:off x="70931" y="8420505"/>
          <a:ext cx="11865718" cy="4975294"/>
        </a:xfrm>
        <a:prstGeom prst="rect">
          <a:avLst/>
        </a:prstGeom>
        <a:noFill/>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1270</xdr:colOff>
      <xdr:row>8</xdr:row>
      <xdr:rowOff>6348</xdr:rowOff>
    </xdr:from>
    <xdr:to>
      <xdr:col>12</xdr:col>
      <xdr:colOff>44450</xdr:colOff>
      <xdr:row>30</xdr:row>
      <xdr:rowOff>150962</xdr:rowOff>
    </xdr:to>
    <xdr:sp macro="" textlink="">
      <xdr:nvSpPr>
        <xdr:cNvPr id="5" name="テキスト ボックス 4">
          <a:extLst>
            <a:ext uri="{FF2B5EF4-FFF2-40B4-BE49-F238E27FC236}">
              <a16:creationId xmlns:a16="http://schemas.microsoft.com/office/drawing/2014/main" xmlns="" id="{F1510331-A37D-4778-A5AD-2DC904B6F4D4}"/>
            </a:ext>
          </a:extLst>
        </xdr:cNvPr>
        <xdr:cNvSpPr txBox="1"/>
      </xdr:nvSpPr>
      <xdr:spPr>
        <a:xfrm>
          <a:off x="8110100" y="1724442"/>
          <a:ext cx="4392331" cy="4098388"/>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r>
            <a:rPr kumimoji="1" lang="ja-JP" altLang="en-US" sz="1100"/>
            <a:t>◎記入できるのは黄色のセルだけです。</a:t>
          </a:r>
        </a:p>
        <a:p>
          <a:r>
            <a:rPr kumimoji="1" lang="ja-JP" altLang="en-US" sz="1100"/>
            <a:t>◎ここでは、起業が軌道に乗った場合の数値を記載ください。</a:t>
          </a:r>
        </a:p>
        <a:p>
          <a:endParaRPr kumimoji="1" lang="ja-JP" altLang="en-US" sz="1100"/>
        </a:p>
        <a:p>
          <a:r>
            <a:rPr kumimoji="1" lang="ja-JP" altLang="en-US" sz="1100"/>
            <a:t>◎既に「売上の積算」シートで欄外の</a:t>
          </a:r>
          <a:r>
            <a:rPr kumimoji="1" lang="en-US" altLang="ja-JP" sz="1100"/>
            <a:t>"</a:t>
          </a:r>
          <a:r>
            <a:rPr kumimoji="1" lang="ja-JP" altLang="en-US" sz="1100"/>
            <a:t>「売上高」「総利益率」「経費額」の目安がつかない場合」</a:t>
          </a:r>
          <a:r>
            <a:rPr kumimoji="1" lang="en-US" altLang="ja-JP" sz="1100"/>
            <a:t>"</a:t>
          </a:r>
          <a:r>
            <a:rPr kumimoji="1" lang="ja-JP" altLang="en-US" sz="1100"/>
            <a:t>で記載した内容で一括した経費を記載してあります。</a:t>
          </a:r>
          <a:endParaRPr kumimoji="1" lang="en-US" altLang="ja-JP" sz="1100"/>
        </a:p>
        <a:p>
          <a:r>
            <a:rPr kumimoji="1" lang="ja-JP" altLang="en-US" sz="1100"/>
            <a:t>・随時調べたり聞いたりしながら徐々に個別科目ごとの積算としてみてください。原則は、「収入は控えめに支出は多めにユトリをもつ」でしょう。</a:t>
          </a:r>
          <a:endParaRPr kumimoji="1" lang="en-US" altLang="ja-JP" sz="1100"/>
        </a:p>
        <a:p>
          <a:endParaRPr kumimoji="1" lang="en-US" altLang="ja-JP" sz="1100"/>
        </a:p>
        <a:p>
          <a:endParaRPr kumimoji="1" lang="en-US" altLang="ja-JP" sz="1100"/>
        </a:p>
        <a:p>
          <a:r>
            <a:rPr kumimoji="1" lang="ja-JP" altLang="en-US" sz="1400" b="0" u="none">
              <a:solidFill>
                <a:srgbClr val="FF0000"/>
              </a:solidFill>
            </a:rPr>
            <a:t>◎「初年月数」欄について</a:t>
          </a:r>
        </a:p>
        <a:p>
          <a:r>
            <a:rPr kumimoji="1" lang="ja-JP" altLang="en-US" sz="1100" u="sng">
              <a:solidFill>
                <a:srgbClr val="FF0000"/>
              </a:solidFill>
            </a:rPr>
            <a:t>「</a:t>
          </a:r>
          <a:r>
            <a:rPr kumimoji="1" lang="en-US" altLang="ja-JP" sz="1100" u="sng">
              <a:solidFill>
                <a:srgbClr val="FF0000"/>
              </a:solidFill>
            </a:rPr>
            <a:t>f2</a:t>
          </a:r>
          <a:r>
            <a:rPr kumimoji="1" lang="ja-JP" altLang="en-US" sz="1100" u="sng">
              <a:solidFill>
                <a:srgbClr val="FF0000"/>
              </a:solidFill>
            </a:rPr>
            <a:t>」セルの「初年月数欄」は、例えば、起業の</a:t>
          </a:r>
          <a:r>
            <a:rPr kumimoji="1" lang="en-US" altLang="ja-JP" sz="1100" u="sng">
              <a:solidFill>
                <a:srgbClr val="FF0000"/>
              </a:solidFill>
            </a:rPr>
            <a:t>1</a:t>
          </a:r>
          <a:r>
            <a:rPr kumimoji="1" lang="ja-JP" altLang="en-US" sz="1100" u="sng">
              <a:solidFill>
                <a:srgbClr val="FF0000"/>
              </a:solidFill>
            </a:rPr>
            <a:t>期目の初年月数が</a:t>
          </a:r>
          <a:r>
            <a:rPr kumimoji="1" lang="en-US" altLang="ja-JP" sz="1100" u="sng">
              <a:solidFill>
                <a:srgbClr val="FF0000"/>
              </a:solidFill>
            </a:rPr>
            <a:t>3</a:t>
          </a:r>
          <a:r>
            <a:rPr kumimoji="1" lang="ja-JP" altLang="en-US" sz="1100" u="sng">
              <a:solidFill>
                <a:srgbClr val="FF0000"/>
              </a:solidFill>
            </a:rPr>
            <a:t>カ月しかない場合は「３」を記入します。</a:t>
          </a:r>
          <a:r>
            <a:rPr kumimoji="1" lang="en-US" altLang="ja-JP" sz="1100" u="sng">
              <a:solidFill>
                <a:srgbClr val="FF0000"/>
              </a:solidFill>
            </a:rPr>
            <a:t>C</a:t>
          </a:r>
          <a:r>
            <a:rPr kumimoji="1" lang="ja-JP" altLang="en-US" sz="1100" u="sng">
              <a:solidFill>
                <a:srgbClr val="FF0000"/>
              </a:solidFill>
            </a:rPr>
            <a:t>列が</a:t>
          </a:r>
          <a:r>
            <a:rPr kumimoji="1" lang="en-US" altLang="ja-JP" sz="1100" u="sng">
              <a:solidFill>
                <a:srgbClr val="FF0000"/>
              </a:solidFill>
            </a:rPr>
            <a:t>3/12</a:t>
          </a:r>
          <a:r>
            <a:rPr kumimoji="1" lang="ja-JP" altLang="en-US" sz="1100" u="sng">
              <a:solidFill>
                <a:srgbClr val="FF0000"/>
              </a:solidFill>
            </a:rPr>
            <a:t>となり、他のシートも応じた月数分の計算になります。</a:t>
          </a:r>
          <a:endParaRPr kumimoji="1" lang="en-US" altLang="ja-JP" sz="1100" u="sng">
            <a:solidFill>
              <a:srgbClr val="FF0000"/>
            </a:solidFill>
          </a:endParaRPr>
        </a:p>
        <a:p>
          <a:r>
            <a:rPr kumimoji="1" lang="ja-JP" altLang="en-US" sz="1100" u="sng">
              <a:solidFill>
                <a:srgbClr val="FF0000"/>
              </a:solidFill>
            </a:rPr>
            <a:t>ただし、これはテンプレート作成当初に作った機能です。今回、提供するテンプレートでは「資金繰り表」シートも連結させました。このため、例えば初年は「</a:t>
          </a:r>
          <a:r>
            <a:rPr kumimoji="1" lang="en-US" altLang="ja-JP" sz="1100" u="sng">
              <a:solidFill>
                <a:srgbClr val="FF0000"/>
              </a:solidFill>
            </a:rPr>
            <a:t>1</a:t>
          </a:r>
          <a:r>
            <a:rPr kumimoji="1" lang="ja-JP" altLang="en-US" sz="1100" u="sng">
              <a:solidFill>
                <a:srgbClr val="FF0000"/>
              </a:solidFill>
            </a:rPr>
            <a:t>」カ月とした場合に、今回の資金繰り表のやり方では意味がないものになりますので、「初年月数」欄は、原則としては使用せず、常に「</a:t>
          </a:r>
          <a:r>
            <a:rPr kumimoji="1" lang="en-US" altLang="ja-JP" sz="1100" u="sng">
              <a:solidFill>
                <a:srgbClr val="FF0000"/>
              </a:solidFill>
            </a:rPr>
            <a:t>12</a:t>
          </a:r>
          <a:r>
            <a:rPr kumimoji="1" lang="ja-JP" altLang="en-US" sz="1100" u="sng">
              <a:solidFill>
                <a:srgbClr val="FF0000"/>
              </a:solidFill>
            </a:rPr>
            <a:t>」とすることにします。なお、数値がどのように動くかの状況を学習したい場合には使用してみてください。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263247</xdr:colOff>
      <xdr:row>104</xdr:row>
      <xdr:rowOff>138546</xdr:rowOff>
    </xdr:from>
    <xdr:to>
      <xdr:col>4</xdr:col>
      <xdr:colOff>1215746</xdr:colOff>
      <xdr:row>119</xdr:row>
      <xdr:rowOff>38485</xdr:rowOff>
    </xdr:to>
    <xdr:sp macro="" textlink="">
      <xdr:nvSpPr>
        <xdr:cNvPr id="12" name="テキスト ボックス 11">
          <a:extLst>
            <a:ext uri="{FF2B5EF4-FFF2-40B4-BE49-F238E27FC236}">
              <a16:creationId xmlns:a16="http://schemas.microsoft.com/office/drawing/2014/main" xmlns="" id="{E597C067-CDAE-45DD-8A2D-FA5D009190E6}"/>
            </a:ext>
          </a:extLst>
        </xdr:cNvPr>
        <xdr:cNvSpPr txBox="1"/>
      </xdr:nvSpPr>
      <xdr:spPr>
        <a:xfrm>
          <a:off x="263247" y="18072485"/>
          <a:ext cx="5070378" cy="243993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r>
            <a:rPr kumimoji="1" lang="ja-JP" altLang="en-US" sz="1100">
              <a:solidFill>
                <a:schemeClr val="dk1"/>
              </a:solidFill>
              <a:effectLst/>
              <a:latin typeface="+mn-lt"/>
              <a:ea typeface="+mn-ea"/>
              <a:cs typeface="+mn-cs"/>
            </a:rPr>
            <a:t>◎創業に必要な物品は、</a:t>
          </a:r>
          <a:r>
            <a:rPr kumimoji="1" lang="ja-JP" altLang="ja-JP" sz="1100">
              <a:solidFill>
                <a:schemeClr val="dk1"/>
              </a:solidFill>
              <a:effectLst/>
              <a:latin typeface="+mn-lt"/>
              <a:ea typeface="+mn-ea"/>
              <a:cs typeface="+mn-cs"/>
            </a:rPr>
            <a:t>いろいろ必要なものが頭に浮かび、メモしたり覚えたりします。</a:t>
          </a:r>
          <a:r>
            <a:rPr kumimoji="1" lang="ja-JP" altLang="en-US" sz="1100">
              <a:solidFill>
                <a:schemeClr val="dk1"/>
              </a:solidFill>
              <a:effectLst/>
              <a:latin typeface="+mn-lt"/>
              <a:ea typeface="+mn-ea"/>
              <a:cs typeface="+mn-cs"/>
            </a:rPr>
            <a:t>まず、ここに名称を記載し、わかったときに内容をかけるよう</a:t>
          </a:r>
          <a:r>
            <a:rPr kumimoji="1" lang="ja-JP" altLang="ja-JP" sz="1100">
              <a:solidFill>
                <a:schemeClr val="dk1"/>
              </a:solidFill>
              <a:effectLst/>
              <a:latin typeface="+mn-lt"/>
              <a:ea typeface="+mn-ea"/>
              <a:cs typeface="+mn-cs"/>
            </a:rPr>
            <a:t>備忘録として記載しておくとよいと思います。科目№を記載しなければ集計はし</a:t>
          </a:r>
          <a:r>
            <a:rPr kumimoji="1" lang="ja-JP" altLang="en-US" sz="1100">
              <a:solidFill>
                <a:schemeClr val="dk1"/>
              </a:solidFill>
              <a:effectLst/>
              <a:latin typeface="+mn-lt"/>
              <a:ea typeface="+mn-ea"/>
              <a:cs typeface="+mn-cs"/>
            </a:rPr>
            <a:t>ません。</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科目№</a:t>
          </a:r>
          <a:r>
            <a:rPr kumimoji="1" lang="ja-JP" altLang="en-US" sz="1100">
              <a:solidFill>
                <a:schemeClr val="dk1"/>
              </a:solidFill>
              <a:effectLst/>
              <a:latin typeface="+mn-lt"/>
              <a:ea typeface="+mn-ea"/>
              <a:cs typeface="+mn-cs"/>
            </a:rPr>
            <a:t>に不安があったり</a:t>
          </a:r>
          <a:r>
            <a:rPr kumimoji="1" lang="ja-JP" altLang="ja-JP" sz="1100">
              <a:solidFill>
                <a:schemeClr val="dk1"/>
              </a:solidFill>
              <a:effectLst/>
              <a:latin typeface="+mn-lt"/>
              <a:ea typeface="+mn-ea"/>
              <a:cs typeface="+mn-cs"/>
            </a:rPr>
            <a:t>間違</a:t>
          </a:r>
          <a:r>
            <a:rPr kumimoji="1" lang="ja-JP" altLang="en-US" sz="1100">
              <a:solidFill>
                <a:schemeClr val="dk1"/>
              </a:solidFill>
              <a:effectLst/>
              <a:latin typeface="+mn-lt"/>
              <a:ea typeface="+mn-ea"/>
              <a:cs typeface="+mn-cs"/>
            </a:rPr>
            <a:t>いかもしれないと思う場合も記載し、どれだけのモノを用意してお金が幾らいるかを優先させましょう。</a:t>
          </a: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◎「メモ</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」欄は、補助金など申請する場合に対象となるものか否かを記載するとよいでしょう。私の場合、記載した表を支援機関などに見せて、具体的にチェックしてもらうようにしてきました。</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このシートに記載されたものは、「減価償却」シートで自動的に減価償却費の計算をします。</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a:p>
          <a:endParaRPr kumimoji="1" lang="en-US" altLang="ja-JP" sz="1100"/>
        </a:p>
        <a:p>
          <a:endParaRPr kumimoji="1" lang="en-US" altLang="ja-JP" sz="1100"/>
        </a:p>
        <a:p>
          <a:endParaRPr kumimoji="1" lang="ja-JP" altLang="en-US" sz="1100"/>
        </a:p>
      </xdr:txBody>
    </xdr:sp>
    <xdr:clientData/>
  </xdr:twoCellAnchor>
  <xdr:twoCellAnchor>
    <xdr:from>
      <xdr:col>7</xdr:col>
      <xdr:colOff>102681</xdr:colOff>
      <xdr:row>115</xdr:row>
      <xdr:rowOff>64851</xdr:rowOff>
    </xdr:from>
    <xdr:to>
      <xdr:col>7</xdr:col>
      <xdr:colOff>691745</xdr:colOff>
      <xdr:row>116</xdr:row>
      <xdr:rowOff>156724</xdr:rowOff>
    </xdr:to>
    <xdr:sp macro="" textlink="">
      <xdr:nvSpPr>
        <xdr:cNvPr id="3" name="矢印: 下 2">
          <a:extLst>
            <a:ext uri="{FF2B5EF4-FFF2-40B4-BE49-F238E27FC236}">
              <a16:creationId xmlns:a16="http://schemas.microsoft.com/office/drawing/2014/main" xmlns="" id="{E5148B72-9E0E-4833-9202-56D87AB29666}"/>
            </a:ext>
          </a:extLst>
        </xdr:cNvPr>
        <xdr:cNvSpPr/>
      </xdr:nvSpPr>
      <xdr:spPr>
        <a:xfrm>
          <a:off x="7338979" y="19633660"/>
          <a:ext cx="589064" cy="259404"/>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130849</xdr:colOff>
      <xdr:row>93</xdr:row>
      <xdr:rowOff>76969</xdr:rowOff>
    </xdr:from>
    <xdr:to>
      <xdr:col>9</xdr:col>
      <xdr:colOff>477212</xdr:colOff>
      <xdr:row>99</xdr:row>
      <xdr:rowOff>100060</xdr:rowOff>
    </xdr:to>
    <xdr:sp macro="" textlink="">
      <xdr:nvSpPr>
        <xdr:cNvPr id="2" name="右中かっこ 1">
          <a:extLst>
            <a:ext uri="{FF2B5EF4-FFF2-40B4-BE49-F238E27FC236}">
              <a16:creationId xmlns:a16="http://schemas.microsoft.com/office/drawing/2014/main" xmlns="" id="{5DF0BF9B-679F-9880-07A7-B04CC2963E0E}"/>
            </a:ext>
          </a:extLst>
        </xdr:cNvPr>
        <xdr:cNvSpPr/>
      </xdr:nvSpPr>
      <xdr:spPr>
        <a:xfrm>
          <a:off x="9498061" y="16102060"/>
          <a:ext cx="346363" cy="1039091"/>
        </a:xfrm>
        <a:prstGeom prst="rightBrace">
          <a:avLst>
            <a:gd name="adj1" fmla="val 8333"/>
            <a:gd name="adj2" fmla="val 507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460876</xdr:colOff>
      <xdr:row>89</xdr:row>
      <xdr:rowOff>72189</xdr:rowOff>
    </xdr:from>
    <xdr:to>
      <xdr:col>11</xdr:col>
      <xdr:colOff>569494</xdr:colOff>
      <xdr:row>104</xdr:row>
      <xdr:rowOff>112295</xdr:rowOff>
    </xdr:to>
    <xdr:sp macro="" textlink="">
      <xdr:nvSpPr>
        <xdr:cNvPr id="4" name="テキスト ボックス 3">
          <a:extLst>
            <a:ext uri="{FF2B5EF4-FFF2-40B4-BE49-F238E27FC236}">
              <a16:creationId xmlns:a16="http://schemas.microsoft.com/office/drawing/2014/main" xmlns="" id="{9B52F9A3-62C6-D3D6-F019-19C488A00981}"/>
            </a:ext>
          </a:extLst>
        </xdr:cNvPr>
        <xdr:cNvSpPr txBox="1"/>
      </xdr:nvSpPr>
      <xdr:spPr>
        <a:xfrm>
          <a:off x="9837487" y="15328231"/>
          <a:ext cx="1520323" cy="2622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例示した物品は違うが、消してしまうのはどうかと思う場合は、左の消したい科目の金額欄に「－」をつけて差し引くのもよいでしょう。</a:t>
          </a:r>
        </a:p>
        <a:p>
          <a:r>
            <a:rPr kumimoji="1" lang="ja-JP" altLang="en-US" sz="1100"/>
            <a:t>　また、例示はすべて削除して、左の欄に総額でおおよその金額を科目ごとに記載するのもよいでしょう。</a:t>
          </a:r>
        </a:p>
      </xdr:txBody>
    </xdr:sp>
    <xdr:clientData/>
  </xdr:twoCellAnchor>
  <xdr:twoCellAnchor>
    <xdr:from>
      <xdr:col>0</xdr:col>
      <xdr:colOff>261697</xdr:colOff>
      <xdr:row>121</xdr:row>
      <xdr:rowOff>138545</xdr:rowOff>
    </xdr:from>
    <xdr:to>
      <xdr:col>7</xdr:col>
      <xdr:colOff>731213</xdr:colOff>
      <xdr:row>141</xdr:row>
      <xdr:rowOff>97276</xdr:rowOff>
    </xdr:to>
    <xdr:sp macro="" textlink="">
      <xdr:nvSpPr>
        <xdr:cNvPr id="7" name="テキスト ボックス 6">
          <a:extLst>
            <a:ext uri="{FF2B5EF4-FFF2-40B4-BE49-F238E27FC236}">
              <a16:creationId xmlns:a16="http://schemas.microsoft.com/office/drawing/2014/main" xmlns="" id="{86F1A624-228C-47C3-A96F-1CBC07F413AF}"/>
            </a:ext>
          </a:extLst>
        </xdr:cNvPr>
        <xdr:cNvSpPr txBox="1"/>
      </xdr:nvSpPr>
      <xdr:spPr>
        <a:xfrm>
          <a:off x="261697" y="20723354"/>
          <a:ext cx="7705814" cy="334719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行ってほしいこと</a:t>
          </a:r>
          <a:r>
            <a:rPr kumimoji="1" lang="en-US" altLang="ja-JP" sz="1400"/>
            <a:t>】</a:t>
          </a:r>
          <a:endParaRPr kumimoji="1" lang="ja-JP" altLang="en-US" sz="14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記入できるのは黄色セルだけです。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①まず、必要と思う物品をランダムに記載していくとよいでしょう。その後、</a:t>
          </a:r>
          <a:r>
            <a:rPr kumimoji="1" lang="ja-JP" altLang="ja-JP" sz="1100">
              <a:solidFill>
                <a:schemeClr val="dk1"/>
              </a:solidFill>
              <a:effectLst/>
              <a:latin typeface="+mn-lt"/>
              <a:ea typeface="+mn-ea"/>
              <a:cs typeface="+mn-cs"/>
            </a:rPr>
            <a:t>上の表の「科目№」欄に、「集計表」の「科目№」を転記してください。科目名は自動転記され金額は自動集計されます。</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一番多い人は、</a:t>
          </a:r>
          <a:r>
            <a:rPr kumimoji="1" lang="en-US" altLang="ja-JP" sz="1100">
              <a:solidFill>
                <a:schemeClr val="dk1"/>
              </a:solidFill>
              <a:effectLst/>
              <a:latin typeface="+mn-lt"/>
              <a:ea typeface="+mn-ea"/>
              <a:cs typeface="+mn-cs"/>
            </a:rPr>
            <a:t>A3</a:t>
          </a:r>
          <a:r>
            <a:rPr kumimoji="1" lang="ja-JP" altLang="en-US" sz="1100">
              <a:solidFill>
                <a:schemeClr val="dk1"/>
              </a:solidFill>
              <a:effectLst/>
              <a:latin typeface="+mn-lt"/>
              <a:ea typeface="+mn-ea"/>
              <a:cs typeface="+mn-cs"/>
            </a:rPr>
            <a:t>用紙で</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枚書いた方もいました。補助金の担当者に見てもらい、そのかなりの部分が補助対象となりました。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②科目選びは、次の基準によっています。わからないものも記載して、正確なものにするには、創業までに支援機関に起業相談する場合に提示し教えてもらうとよいでしょう。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「科目№」</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万円以上ものだけを記載例を参考に記載します。</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開業日までに支出したもので、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万円未満のものは「開業費」とします。</a:t>
          </a:r>
          <a:endParaRPr kumimoji="1" lang="ja-JP" altLang="en-US"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〇減価償却資産をもっと正確に処理したい方は国税庁の次のサイトに資料があります。</a:t>
          </a:r>
          <a:r>
            <a:rPr lang="ja-JP" altLang="en-US"/>
            <a:t> </a:t>
          </a:r>
          <a:r>
            <a:rPr lang="en-US" altLang="ja-JP" sz="1100" b="0" i="0" u="sng" strike="noStrike">
              <a:solidFill>
                <a:schemeClr val="dk1"/>
              </a:solidFill>
              <a:effectLst/>
              <a:latin typeface="+mn-lt"/>
              <a:ea typeface="+mn-ea"/>
              <a:cs typeface="+mn-cs"/>
              <a:hlinkClick xmlns:r="http://schemas.openxmlformats.org/officeDocument/2006/relationships" r:id=""/>
            </a:rPr>
            <a:t>https://www.nta.go.jp/taxes/shiraberu/taxanswer/shotoku/pdf/2100_01.pdf</a:t>
          </a:r>
          <a:r>
            <a:rPr lang="en-US" altLang="ja-JP"/>
            <a:t> </a:t>
          </a:r>
          <a:endParaRPr kumimoji="1" lang="ja-JP" altLang="en-US" sz="1100">
            <a:solidFill>
              <a:schemeClr val="dk1"/>
            </a:solidFill>
            <a:effectLst/>
            <a:latin typeface="+mn-lt"/>
            <a:ea typeface="+mn-ea"/>
            <a:cs typeface="+mn-cs"/>
          </a:endParaRPr>
        </a:p>
        <a:p>
          <a:endParaRPr kumimoji="1" lang="ja-JP" altLang="en-US" sz="1100"/>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104140</xdr:rowOff>
    </xdr:from>
    <xdr:to>
      <xdr:col>6</xdr:col>
      <xdr:colOff>972820</xdr:colOff>
      <xdr:row>28</xdr:row>
      <xdr:rowOff>30480</xdr:rowOff>
    </xdr:to>
    <xdr:sp macro="" textlink="">
      <xdr:nvSpPr>
        <xdr:cNvPr id="2" name="テキスト ボックス 1">
          <a:extLst>
            <a:ext uri="{FF2B5EF4-FFF2-40B4-BE49-F238E27FC236}">
              <a16:creationId xmlns:a16="http://schemas.microsoft.com/office/drawing/2014/main" xmlns="" id="{4186F58E-997F-476B-89D7-C1C0020D9D4D}"/>
            </a:ext>
          </a:extLst>
        </xdr:cNvPr>
        <xdr:cNvSpPr txBox="1"/>
      </xdr:nvSpPr>
      <xdr:spPr>
        <a:xfrm>
          <a:off x="0" y="4401820"/>
          <a:ext cx="6253480" cy="95504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endParaRPr kumimoji="1" lang="ja-JP" altLang="en-US" sz="1400"/>
        </a:p>
        <a:p>
          <a:r>
            <a:rPr kumimoji="1" lang="ja-JP" altLang="en-US" sz="1100"/>
            <a:t>◎このシートは、「調達品」シートからの自動転記です。通常は、何も行う必要はありません。</a:t>
          </a:r>
          <a:endParaRPr kumimoji="1" lang="en-US" altLang="ja-JP" sz="1100"/>
        </a:p>
        <a:p>
          <a:endParaRPr kumimoji="1" lang="ja-JP" altLang="en-US" sz="1100"/>
        </a:p>
      </xdr:txBody>
    </xdr:sp>
    <xdr:clientData/>
  </xdr:twoCellAnchor>
  <xdr:twoCellAnchor>
    <xdr:from>
      <xdr:col>7</xdr:col>
      <xdr:colOff>312420</xdr:colOff>
      <xdr:row>18</xdr:row>
      <xdr:rowOff>144781</xdr:rowOff>
    </xdr:from>
    <xdr:to>
      <xdr:col>15</xdr:col>
      <xdr:colOff>441935</xdr:colOff>
      <xdr:row>28</xdr:row>
      <xdr:rowOff>45720</xdr:rowOff>
    </xdr:to>
    <xdr:sp macro="" textlink="">
      <xdr:nvSpPr>
        <xdr:cNvPr id="4" name="テキスト ボックス 3">
          <a:extLst>
            <a:ext uri="{FF2B5EF4-FFF2-40B4-BE49-F238E27FC236}">
              <a16:creationId xmlns:a16="http://schemas.microsoft.com/office/drawing/2014/main" xmlns="" id="{652C4912-078E-44BD-81A6-E9C7CBB46DFB}"/>
            </a:ext>
          </a:extLst>
        </xdr:cNvPr>
        <xdr:cNvSpPr txBox="1"/>
      </xdr:nvSpPr>
      <xdr:spPr>
        <a:xfrm>
          <a:off x="6621780" y="3482341"/>
          <a:ext cx="7513295" cy="188975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行ってほしいこと</a:t>
          </a:r>
          <a:r>
            <a:rPr kumimoji="1" lang="en-US" altLang="ja-JP" sz="1400"/>
            <a:t>】</a:t>
          </a:r>
          <a:endParaRPr kumimoji="1" lang="ja-JP" altLang="en-US" sz="14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記入できるのは黄色セルだけです。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①「償却年数」欄の数値は規則どおりではありません。耐用年数を変えてみて、「シミュレーション」シート、「資金繰り」シートなどがどのように変化するかを理解してください。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②なお、</a:t>
          </a:r>
          <a:r>
            <a:rPr kumimoji="1" lang="ja-JP" altLang="ja-JP" sz="1100">
              <a:solidFill>
                <a:schemeClr val="dk1"/>
              </a:solidFill>
              <a:effectLst/>
              <a:latin typeface="+mn-lt"/>
              <a:ea typeface="+mn-ea"/>
              <a:cs typeface="+mn-cs"/>
            </a:rPr>
            <a:t>耐用年数を</a:t>
          </a:r>
          <a:r>
            <a:rPr kumimoji="1" lang="ja-JP" altLang="en-US" sz="1100">
              <a:solidFill>
                <a:schemeClr val="dk1"/>
              </a:solidFill>
              <a:effectLst/>
              <a:latin typeface="+mn-lt"/>
              <a:ea typeface="+mn-ea"/>
              <a:cs typeface="+mn-cs"/>
            </a:rPr>
            <a:t>正しいものに</a:t>
          </a:r>
          <a:r>
            <a:rPr kumimoji="1" lang="ja-JP" altLang="ja-JP" sz="1100">
              <a:solidFill>
                <a:schemeClr val="dk1"/>
              </a:solidFill>
              <a:effectLst/>
              <a:latin typeface="+mn-lt"/>
              <a:ea typeface="+mn-ea"/>
              <a:cs typeface="+mn-cs"/>
            </a:rPr>
            <a:t>変えたい場合は、「調達品」シートの末尾にある</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の国税庁の表を参考にしてください。</a:t>
          </a:r>
          <a:r>
            <a:rPr kumimoji="1" lang="ja-JP" altLang="en-US" sz="1100">
              <a:solidFill>
                <a:schemeClr val="dk1"/>
              </a:solidFill>
              <a:effectLst/>
              <a:latin typeface="+mn-lt"/>
              <a:ea typeface="+mn-ea"/>
              <a:cs typeface="+mn-cs"/>
            </a:rPr>
            <a:t>また、実際に起業する場合は、それまでの過程で支援機関を訪れたときに指導を受けてください。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endParaRPr kumimoji="1" lang="ja-JP" altLang="en-US" sz="1100"/>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198437</xdr:colOff>
      <xdr:row>1</xdr:row>
      <xdr:rowOff>31749</xdr:rowOff>
    </xdr:from>
    <xdr:to>
      <xdr:col>11</xdr:col>
      <xdr:colOff>246062</xdr:colOff>
      <xdr:row>42</xdr:row>
      <xdr:rowOff>0</xdr:rowOff>
    </xdr:to>
    <xdr:sp macro="" textlink="">
      <xdr:nvSpPr>
        <xdr:cNvPr id="2" name="テキスト ボックス 1">
          <a:extLst>
            <a:ext uri="{FF2B5EF4-FFF2-40B4-BE49-F238E27FC236}">
              <a16:creationId xmlns:a16="http://schemas.microsoft.com/office/drawing/2014/main" xmlns="" id="{0A76BB87-1CEA-4CB3-AB72-82DB24E629B5}"/>
            </a:ext>
          </a:extLst>
        </xdr:cNvPr>
        <xdr:cNvSpPr txBox="1"/>
      </xdr:nvSpPr>
      <xdr:spPr>
        <a:xfrm>
          <a:off x="10058717" y="240029"/>
          <a:ext cx="1007745" cy="851281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説明</a:t>
          </a:r>
          <a:r>
            <a:rPr kumimoji="1" lang="en-US" altLang="ja-JP" sz="1400"/>
            <a:t>】</a:t>
          </a:r>
        </a:p>
        <a:p>
          <a:endParaRPr kumimoji="1" lang="ja-JP" altLang="en-US" sz="1400"/>
        </a:p>
        <a:p>
          <a:r>
            <a:rPr kumimoji="1" lang="ja-JP" altLang="en-US" sz="1100"/>
            <a:t>◎このシートで記入するものはありません。</a:t>
          </a:r>
        </a:p>
        <a:p>
          <a:endParaRPr kumimoji="1" lang="en-US" altLang="ja-JP" sz="1100"/>
        </a:p>
        <a:p>
          <a:r>
            <a:rPr kumimoji="1" lang="ja-JP" altLang="en-US" sz="1100"/>
            <a:t>◎どのような条件で借りると、返済額や利息はどのようになるか任意に変えて知ってください。</a:t>
          </a:r>
          <a:endParaRPr kumimoji="1" lang="en-US" altLang="ja-JP" sz="1100"/>
        </a:p>
        <a:p>
          <a:r>
            <a:rPr kumimoji="1" lang="en-US" altLang="ja-JP" sz="1100" u="sng">
              <a:solidFill>
                <a:srgbClr val="FF0000"/>
              </a:solidFill>
            </a:rPr>
            <a:t>※</a:t>
          </a:r>
          <a:r>
            <a:rPr kumimoji="1" lang="ja-JP" altLang="en-US" sz="1100" u="sng">
              <a:solidFill>
                <a:srgbClr val="FF0000"/>
              </a:solidFill>
            </a:rPr>
            <a:t>変更を入力をするシートは、「評価・判断」「資金繰り表」の各シートにあります。</a:t>
          </a:r>
          <a:endParaRPr kumimoji="1" lang="en-US" altLang="ja-JP" sz="1100" u="sng">
            <a:solidFill>
              <a:srgbClr val="FF0000"/>
            </a:solidFill>
          </a:endParaRPr>
        </a:p>
        <a:p>
          <a:endParaRPr kumimoji="1" lang="en-US" altLang="ja-JP" sz="1100"/>
        </a:p>
        <a:p>
          <a:r>
            <a:rPr kumimoji="1" lang="ja-JP" altLang="en-US" sz="1100" u="sng">
              <a:solidFill>
                <a:srgbClr val="FF0000"/>
              </a:solidFill>
            </a:rPr>
            <a:t>◎金利は、</a:t>
          </a:r>
          <a:r>
            <a:rPr kumimoji="1" lang="en-US" altLang="ja-JP" sz="1100" u="sng">
              <a:solidFill>
                <a:srgbClr val="FF0000"/>
              </a:solidFill>
            </a:rPr>
            <a:t>2</a:t>
          </a:r>
          <a:r>
            <a:rPr kumimoji="1" lang="ja-JP" altLang="en-US" sz="1100" u="sng">
              <a:solidFill>
                <a:srgbClr val="FF0000"/>
              </a:solidFill>
            </a:rPr>
            <a:t>％、</a:t>
          </a:r>
          <a:r>
            <a:rPr kumimoji="1" lang="en-US" altLang="ja-JP" sz="1100" u="sng">
              <a:solidFill>
                <a:srgbClr val="FF0000"/>
              </a:solidFill>
            </a:rPr>
            <a:t>3</a:t>
          </a:r>
          <a:r>
            <a:rPr kumimoji="1" lang="ja-JP" altLang="en-US" sz="1100" u="sng">
              <a:solidFill>
                <a:srgbClr val="FF0000"/>
              </a:solidFill>
            </a:rPr>
            <a:t>％、返済回数は、設備資金で</a:t>
          </a:r>
          <a:r>
            <a:rPr kumimoji="1" lang="en-US" altLang="ja-JP" sz="1100" u="sng">
              <a:solidFill>
                <a:srgbClr val="FF0000"/>
              </a:solidFill>
            </a:rPr>
            <a:t>5</a:t>
          </a:r>
          <a:r>
            <a:rPr kumimoji="1" lang="ja-JP" altLang="en-US" sz="1100" u="sng">
              <a:solidFill>
                <a:srgbClr val="FF0000"/>
              </a:solidFill>
            </a:rPr>
            <a:t>年、</a:t>
          </a:r>
          <a:r>
            <a:rPr kumimoji="1" lang="en-US" altLang="ja-JP" sz="1100" u="sng">
              <a:solidFill>
                <a:srgbClr val="FF0000"/>
              </a:solidFill>
            </a:rPr>
            <a:t>7</a:t>
          </a:r>
          <a:r>
            <a:rPr kumimoji="1" lang="ja-JP" altLang="en-US" sz="1100" u="sng">
              <a:solidFill>
                <a:srgbClr val="FF0000"/>
              </a:solidFill>
            </a:rPr>
            <a:t>年、</a:t>
          </a:r>
          <a:r>
            <a:rPr kumimoji="1" lang="en-US" altLang="ja-JP" sz="1100" u="sng">
              <a:solidFill>
                <a:srgbClr val="FF0000"/>
              </a:solidFill>
            </a:rPr>
            <a:t>10</a:t>
          </a:r>
          <a:r>
            <a:rPr kumimoji="1" lang="ja-JP" altLang="en-US" sz="1100" u="sng">
              <a:solidFill>
                <a:srgbClr val="FF0000"/>
              </a:solidFill>
            </a:rPr>
            <a:t>年、運転資金で</a:t>
          </a:r>
          <a:r>
            <a:rPr kumimoji="1" lang="en-US" altLang="ja-JP" sz="1100" u="sng">
              <a:solidFill>
                <a:srgbClr val="FF0000"/>
              </a:solidFill>
            </a:rPr>
            <a:t>3</a:t>
          </a:r>
          <a:r>
            <a:rPr kumimoji="1" lang="ja-JP" altLang="en-US" sz="1100" u="sng">
              <a:solidFill>
                <a:srgbClr val="FF0000"/>
              </a:solidFill>
            </a:rPr>
            <a:t>年、また据置は設備資金で</a:t>
          </a:r>
          <a:r>
            <a:rPr kumimoji="1" lang="en-US" altLang="ja-JP" sz="1100" u="sng">
              <a:solidFill>
                <a:srgbClr val="FF0000"/>
              </a:solidFill>
            </a:rPr>
            <a:t>6</a:t>
          </a:r>
          <a:r>
            <a:rPr kumimoji="1" lang="ja-JP" altLang="en-US" sz="1100" u="sng">
              <a:solidFill>
                <a:srgbClr val="FF0000"/>
              </a:solidFill>
            </a:rPr>
            <a:t>カ月、</a:t>
          </a:r>
          <a:r>
            <a:rPr kumimoji="1" lang="en-US" altLang="ja-JP" sz="1100" u="sng">
              <a:solidFill>
                <a:srgbClr val="FF0000"/>
              </a:solidFill>
            </a:rPr>
            <a:t>1</a:t>
          </a:r>
          <a:r>
            <a:rPr kumimoji="1" lang="ja-JP" altLang="en-US" sz="1100" u="sng">
              <a:solidFill>
                <a:srgbClr val="FF0000"/>
              </a:solidFill>
            </a:rPr>
            <a:t>年の範囲で入力してみてください</a:t>
          </a:r>
          <a:r>
            <a:rPr kumimoji="1" lang="ja-JP" altLang="en-US" sz="1100"/>
            <a:t>。</a:t>
          </a:r>
          <a:endParaRPr kumimoji="1" lang="en-US" altLang="ja-JP" sz="1100"/>
        </a:p>
        <a:p>
          <a:endParaRPr kumimoji="1" lang="en-US" altLang="ja-JP" sz="1100"/>
        </a:p>
        <a:p>
          <a:r>
            <a:rPr kumimoji="1" lang="ja-JP" altLang="en-US" sz="1100"/>
            <a:t>◎左表は起業時の設備資金、右表は「資金繰り表」シートで資金不足がある場合の運転資金用です。</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gkmyhn.sub.jp/wp7/wp-content/uploads/2022/01/&#20304;&#28193;&#12398;&#21697;&#30446;&#21029;&#28040;&#36027;&#25903;&#20986;.xls" TargetMode="External"/><Relationship Id="rId7" Type="http://schemas.openxmlformats.org/officeDocument/2006/relationships/vmlDrawing" Target="../drawings/vmlDrawing4.vml"/><Relationship Id="rId2" Type="http://schemas.openxmlformats.org/officeDocument/2006/relationships/hyperlink" Target="https://www.e-stat.go.jp/stat-search/files?page=1&amp;toukei=00200521&amp;tstat=000001136464" TargetMode="External"/><Relationship Id="rId1" Type="http://schemas.openxmlformats.org/officeDocument/2006/relationships/hyperlink" Target="https://www.jfc.go.jp/n/findings/shihyou_kekka_m_index.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e-stat.go.jp/stat-search/files?page=1&amp;layout=datalist&amp;toukei=00200552&amp;tstat=000001072573&amp;cycle=0&amp;tclass1=000001080756&amp;tclass2val=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zoomScale="107" zoomScaleNormal="107" workbookViewId="0">
      <selection activeCell="J9" sqref="J9"/>
    </sheetView>
  </sheetViews>
  <sheetFormatPr defaultColWidth="9.19921875" defaultRowHeight="17.25"/>
  <cols>
    <col min="1" max="19" width="9.19921875" style="474"/>
    <col min="20" max="20" width="2.69921875" style="474" customWidth="1"/>
    <col min="21" max="21" width="25" style="474" customWidth="1"/>
    <col min="22" max="16384" width="9.19921875" style="474"/>
  </cols>
  <sheetData/>
  <phoneticPr fontId="3"/>
  <pageMargins left="0.43307086614173229" right="0.43307086614173229" top="0.55118110236220474" bottom="0.35433070866141736"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12"/>
  <sheetViews>
    <sheetView tabSelected="1" zoomScale="93" zoomScaleNormal="93" workbookViewId="0">
      <selection activeCell="A10" sqref="A10"/>
    </sheetView>
  </sheetViews>
  <sheetFormatPr defaultRowHeight="17.25"/>
  <cols>
    <col min="2" max="2" width="11" customWidth="1"/>
    <col min="3" max="3" width="12.59765625" customWidth="1"/>
    <col min="4" max="4" width="7.296875" customWidth="1"/>
    <col min="5" max="5" width="14.19921875" customWidth="1"/>
    <col min="7" max="7" width="10.296875" customWidth="1"/>
    <col min="8" max="10" width="9.296875" customWidth="1"/>
    <col min="11" max="11" width="9.09765625" customWidth="1"/>
    <col min="12" max="12" width="12.19921875" customWidth="1"/>
    <col min="13" max="13" width="9" customWidth="1"/>
    <col min="14" max="14" width="12.8984375" customWidth="1"/>
    <col min="16" max="16" width="12.69921875" customWidth="1"/>
  </cols>
  <sheetData>
    <row r="2" spans="2:15" s="315" customFormat="1" ht="37.9" customHeight="1" thickBot="1">
      <c r="B2" s="317" t="s">
        <v>266</v>
      </c>
      <c r="G2" s="314" t="s">
        <v>267</v>
      </c>
      <c r="K2" s="316"/>
      <c r="L2" s="317" t="s">
        <v>268</v>
      </c>
    </row>
    <row r="3" spans="2:15" s="290" customFormat="1" ht="15" thickBot="1">
      <c r="B3" s="369" t="s">
        <v>253</v>
      </c>
      <c r="C3" s="371">
        <v>35</v>
      </c>
      <c r="D3" s="306" t="s">
        <v>257</v>
      </c>
      <c r="E3" s="306"/>
      <c r="F3" s="306"/>
      <c r="J3" s="313" t="s">
        <v>261</v>
      </c>
      <c r="L3" s="369" t="s">
        <v>248</v>
      </c>
      <c r="M3" s="370">
        <f>C3+10</f>
        <v>45</v>
      </c>
      <c r="N3" s="306" t="s">
        <v>257</v>
      </c>
    </row>
    <row r="4" spans="2:15" s="290" customFormat="1" ht="15" thickBot="1">
      <c r="B4" s="306"/>
      <c r="C4" s="306"/>
      <c r="D4" s="306"/>
      <c r="E4" s="306"/>
      <c r="F4" s="306"/>
      <c r="G4" s="496" t="s">
        <v>40</v>
      </c>
      <c r="H4" s="497" t="s">
        <v>41</v>
      </c>
      <c r="I4" s="358" t="s">
        <v>40</v>
      </c>
      <c r="J4" s="359" t="s">
        <v>41</v>
      </c>
      <c r="L4" s="306"/>
      <c r="M4" s="306"/>
      <c r="N4" s="306"/>
      <c r="O4" s="313" t="s">
        <v>261</v>
      </c>
    </row>
    <row r="5" spans="2:15" s="290" customFormat="1" ht="15" thickBot="1">
      <c r="B5" s="306"/>
      <c r="C5" s="306"/>
      <c r="D5" s="306"/>
      <c r="E5" s="307" t="s">
        <v>261</v>
      </c>
      <c r="F5" s="306"/>
      <c r="G5" s="551" t="s">
        <v>325</v>
      </c>
      <c r="H5" s="499"/>
      <c r="I5" s="489" t="s">
        <v>249</v>
      </c>
      <c r="J5" s="361">
        <f>+H6-J7</f>
        <v>9407.5</v>
      </c>
      <c r="L5" s="357" t="s">
        <v>252</v>
      </c>
      <c r="M5" s="358" t="s">
        <v>262</v>
      </c>
      <c r="N5" s="358" t="s">
        <v>252</v>
      </c>
      <c r="O5" s="359" t="s">
        <v>262</v>
      </c>
    </row>
    <row r="6" spans="2:15" s="290" customFormat="1" ht="14.25">
      <c r="B6" s="357" t="s">
        <v>252</v>
      </c>
      <c r="C6" s="358" t="s">
        <v>262</v>
      </c>
      <c r="D6" s="358" t="s">
        <v>252</v>
      </c>
      <c r="E6" s="359" t="s">
        <v>262</v>
      </c>
      <c r="F6" s="306"/>
      <c r="G6" s="552"/>
      <c r="H6" s="494">
        <f>+③調達品!H115/1000</f>
        <v>11407.5</v>
      </c>
      <c r="I6" s="500" t="s">
        <v>335</v>
      </c>
      <c r="J6" s="501" t="s">
        <v>339</v>
      </c>
      <c r="L6" s="360" t="s">
        <v>250</v>
      </c>
      <c r="M6" s="305">
        <f>+⑥シミュレーション!N74</f>
        <v>13861.895318335608</v>
      </c>
      <c r="N6" s="304" t="s">
        <v>256</v>
      </c>
      <c r="O6" s="361">
        <f>+⑥シミュレーション!N86</f>
        <v>2509.5212999999999</v>
      </c>
    </row>
    <row r="7" spans="2:15" s="290" customFormat="1" ht="15" thickBot="1">
      <c r="B7" s="360" t="s">
        <v>254</v>
      </c>
      <c r="C7" s="463">
        <f>+E8</f>
        <v>2000</v>
      </c>
      <c r="D7" s="304" t="s">
        <v>260</v>
      </c>
      <c r="E7" s="361">
        <v>0</v>
      </c>
      <c r="F7" s="306"/>
      <c r="G7" s="367" t="s">
        <v>336</v>
      </c>
      <c r="H7" s="502" t="s">
        <v>339</v>
      </c>
      <c r="I7" s="498" t="s">
        <v>251</v>
      </c>
      <c r="J7" s="368">
        <f>+C7</f>
        <v>2000</v>
      </c>
      <c r="L7" s="360" t="s">
        <v>255</v>
      </c>
      <c r="M7" s="305">
        <f>+⑥シミュレーション!N75</f>
        <v>786.517875</v>
      </c>
      <c r="N7" s="304" t="s">
        <v>263</v>
      </c>
      <c r="O7" s="361">
        <f>+⑥シミュレーション!N90-⑥シミュレーション!N87-⑥シミュレーション!N86</f>
        <v>0</v>
      </c>
    </row>
    <row r="8" spans="2:15" s="290" customFormat="1" ht="15" thickBot="1">
      <c r="B8" s="362" t="s">
        <v>259</v>
      </c>
      <c r="C8" s="363">
        <v>0</v>
      </c>
      <c r="D8" s="364" t="s">
        <v>251</v>
      </c>
      <c r="E8" s="462">
        <v>2000</v>
      </c>
      <c r="F8" s="306"/>
      <c r="G8" s="307" t="s">
        <v>338</v>
      </c>
      <c r="H8" s="307">
        <f>SUM(H5:H7)</f>
        <v>11407.5</v>
      </c>
      <c r="I8" s="495" t="s">
        <v>338</v>
      </c>
      <c r="J8" s="495">
        <f>SUM(J5:J7)</f>
        <v>11407.5</v>
      </c>
      <c r="L8" s="360" t="s">
        <v>264</v>
      </c>
      <c r="M8" s="305">
        <f>+⑥シミュレーション!N79-⑥シミュレーション!N74-⑥シミュレーション!N75</f>
        <v>436.41658499999858</v>
      </c>
      <c r="N8" s="304" t="s">
        <v>249</v>
      </c>
      <c r="O8" s="361">
        <f>+⑥シミュレーション!N91+⑥シミュレーション!N87</f>
        <v>5288.990478335616</v>
      </c>
    </row>
    <row r="9" spans="2:15" s="290" customFormat="1" ht="15" thickBot="1">
      <c r="B9" s="306"/>
      <c r="C9" s="306"/>
      <c r="D9" s="306"/>
      <c r="E9" s="306"/>
      <c r="L9" s="367" t="s">
        <v>340</v>
      </c>
      <c r="M9" s="363">
        <f>+⑥シミュレーション!N84</f>
        <v>8170</v>
      </c>
      <c r="N9" s="364" t="s">
        <v>251</v>
      </c>
      <c r="O9" s="368">
        <f>+⑥シミュレーション!N101</f>
        <v>15456.817999999994</v>
      </c>
    </row>
    <row r="10" spans="2:15" s="290" customFormat="1" ht="18" thickBot="1">
      <c r="B10" s="312"/>
      <c r="C10" s="307" t="s">
        <v>261</v>
      </c>
      <c r="G10" s="503"/>
      <c r="H10" s="492" t="s">
        <v>269</v>
      </c>
      <c r="I10" s="493">
        <v>0.02</v>
      </c>
      <c r="L10" s="307" t="s">
        <v>258</v>
      </c>
      <c r="M10" s="307">
        <f t="shared" ref="M10" si="0">SUM(M6:M9)</f>
        <v>23254.829778335607</v>
      </c>
      <c r="N10" s="307" t="s">
        <v>338</v>
      </c>
      <c r="O10" s="307">
        <f>SUM(O6:O9)</f>
        <v>23255.32977833561</v>
      </c>
    </row>
    <row r="11" spans="2:15" ht="18" thickBot="1">
      <c r="B11" s="372" t="s">
        <v>274</v>
      </c>
      <c r="C11" s="373"/>
      <c r="G11" s="504" t="s">
        <v>337</v>
      </c>
      <c r="H11" s="490" t="s">
        <v>270</v>
      </c>
      <c r="I11" s="365">
        <v>120</v>
      </c>
      <c r="L11" s="519" t="s">
        <v>387</v>
      </c>
    </row>
    <row r="12" spans="2:15" ht="18" thickBot="1">
      <c r="G12" s="505"/>
      <c r="H12" s="491" t="s">
        <v>271</v>
      </c>
      <c r="I12" s="366">
        <v>6</v>
      </c>
    </row>
  </sheetData>
  <mergeCells count="1">
    <mergeCell ref="G5:G6"/>
  </mergeCells>
  <phoneticPr fontId="3"/>
  <pageMargins left="0.7" right="0.7" top="0.75" bottom="0.75" header="0.3" footer="0.3"/>
  <pageSetup paperSize="8" scale="92" orientation="landscape"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R137"/>
  <sheetViews>
    <sheetView topLeftCell="D1" zoomScale="99" zoomScaleNormal="99" workbookViewId="0">
      <pane ySplit="3" topLeftCell="A97" activePane="bottomLeft" state="frozen"/>
      <selection activeCell="O22" sqref="O22"/>
      <selection pane="bottomLeft" activeCell="C73" sqref="C73"/>
    </sheetView>
  </sheetViews>
  <sheetFormatPr defaultColWidth="8.69921875" defaultRowHeight="13.5"/>
  <cols>
    <col min="1" max="1" width="25.3984375" style="1" customWidth="1"/>
    <col min="2" max="2" width="12.69921875" style="1" customWidth="1"/>
    <col min="3" max="3" width="9.59765625" style="1" customWidth="1"/>
    <col min="4" max="4" width="2.19921875" style="49" customWidth="1"/>
    <col min="5" max="5" width="10.19921875" style="1" customWidth="1"/>
    <col min="6" max="11" width="9" style="1" bestFit="1" customWidth="1"/>
    <col min="12" max="12" width="9.19921875" style="1" customWidth="1"/>
    <col min="13" max="14" width="9" style="1" bestFit="1" customWidth="1"/>
    <col min="15" max="15" width="7.19921875" style="1" customWidth="1"/>
    <col min="16" max="16384" width="8.69921875" style="1"/>
  </cols>
  <sheetData>
    <row r="1" spans="1:16" ht="15.4" customHeight="1">
      <c r="A1" s="416"/>
      <c r="B1" s="49"/>
      <c r="C1" s="49"/>
      <c r="D1" s="212"/>
      <c r="E1" s="212"/>
      <c r="F1" s="212"/>
      <c r="G1" s="212"/>
      <c r="H1" s="212"/>
      <c r="I1" s="212"/>
      <c r="J1" s="212"/>
      <c r="K1" s="212"/>
      <c r="L1" s="212"/>
      <c r="M1" s="212"/>
      <c r="N1" s="212"/>
      <c r="O1" s="212"/>
      <c r="P1" s="212"/>
    </row>
    <row r="2" spans="1:16">
      <c r="A2" s="49"/>
      <c r="B2" s="49"/>
      <c r="C2" s="49"/>
      <c r="E2" s="49"/>
      <c r="F2" s="49"/>
      <c r="G2" s="49"/>
      <c r="H2" s="49"/>
      <c r="I2" s="49"/>
      <c r="J2" s="49"/>
      <c r="K2" s="49"/>
      <c r="L2" s="49"/>
      <c r="M2" s="49"/>
      <c r="N2" s="49"/>
      <c r="O2" s="49"/>
      <c r="P2" s="49"/>
    </row>
    <row r="3" spans="1:16" s="2" customFormat="1" ht="13.5" customHeight="1">
      <c r="A3" s="417"/>
      <c r="B3" s="49"/>
      <c r="C3" s="49"/>
      <c r="D3" s="49"/>
      <c r="E3" s="412">
        <f t="shared" ref="E3:N3" si="0">+E7</f>
        <v>1</v>
      </c>
      <c r="F3" s="412">
        <f t="shared" si="0"/>
        <v>2</v>
      </c>
      <c r="G3" s="412">
        <f t="shared" si="0"/>
        <v>3</v>
      </c>
      <c r="H3" s="412">
        <f t="shared" si="0"/>
        <v>4</v>
      </c>
      <c r="I3" s="412">
        <f t="shared" si="0"/>
        <v>5</v>
      </c>
      <c r="J3" s="412">
        <f t="shared" si="0"/>
        <v>6</v>
      </c>
      <c r="K3" s="412">
        <f t="shared" si="0"/>
        <v>7</v>
      </c>
      <c r="L3" s="412">
        <f t="shared" si="0"/>
        <v>8</v>
      </c>
      <c r="M3" s="412">
        <f t="shared" si="0"/>
        <v>9</v>
      </c>
      <c r="N3" s="412">
        <f t="shared" si="0"/>
        <v>10</v>
      </c>
    </row>
    <row r="4" spans="1:16">
      <c r="A4" s="52"/>
      <c r="B4" s="418" t="s">
        <v>243</v>
      </c>
      <c r="C4" s="419" t="s">
        <v>244</v>
      </c>
      <c r="D4" s="212"/>
      <c r="E4" s="4">
        <f>+評価・判断!C3</f>
        <v>35</v>
      </c>
      <c r="F4" s="4">
        <f t="shared" ref="F4:I4" si="1">+E4+1</f>
        <v>36</v>
      </c>
      <c r="G4" s="4">
        <f t="shared" si="1"/>
        <v>37</v>
      </c>
      <c r="H4" s="4">
        <f t="shared" si="1"/>
        <v>38</v>
      </c>
      <c r="I4" s="4">
        <f t="shared" si="1"/>
        <v>39</v>
      </c>
      <c r="J4" s="4">
        <f t="shared" ref="J4:N4" si="2">+I4+1</f>
        <v>40</v>
      </c>
      <c r="K4" s="4">
        <f t="shared" si="2"/>
        <v>41</v>
      </c>
      <c r="L4" s="4">
        <f t="shared" si="2"/>
        <v>42</v>
      </c>
      <c r="M4" s="4">
        <f t="shared" si="2"/>
        <v>43</v>
      </c>
      <c r="N4" s="4">
        <f t="shared" si="2"/>
        <v>44</v>
      </c>
    </row>
    <row r="5" spans="1:16">
      <c r="A5" s="50"/>
      <c r="B5" s="52"/>
      <c r="C5" s="53"/>
      <c r="D5" s="53"/>
      <c r="E5" s="53"/>
      <c r="F5" s="53"/>
      <c r="G5" s="53"/>
      <c r="H5" s="53"/>
      <c r="I5" s="53"/>
      <c r="J5" s="53"/>
      <c r="K5" s="53"/>
      <c r="L5" s="53"/>
      <c r="M5" s="53"/>
      <c r="N5" s="53"/>
      <c r="O5" s="53"/>
    </row>
    <row r="6" spans="1:16" s="49" customFormat="1" ht="18" customHeight="1">
      <c r="A6" s="50"/>
      <c r="B6" s="52"/>
      <c r="C6" s="53"/>
      <c r="D6" s="54"/>
      <c r="E6" s="51"/>
      <c r="F6" s="51"/>
      <c r="G6" s="51"/>
      <c r="H6" s="51"/>
      <c r="I6" s="51"/>
      <c r="J6" s="51"/>
      <c r="K6" s="51"/>
      <c r="L6" s="51"/>
      <c r="M6" s="51"/>
      <c r="N6" s="51"/>
    </row>
    <row r="7" spans="1:16" ht="32.25">
      <c r="A7" s="413" t="s">
        <v>0</v>
      </c>
      <c r="B7" s="414"/>
      <c r="C7" s="415"/>
      <c r="D7" s="415"/>
      <c r="E7" s="333">
        <v>1</v>
      </c>
      <c r="F7" s="333">
        <v>2</v>
      </c>
      <c r="G7" s="333">
        <v>3</v>
      </c>
      <c r="H7" s="333">
        <v>4</v>
      </c>
      <c r="I7" s="333">
        <v>5</v>
      </c>
      <c r="J7" s="333">
        <v>6</v>
      </c>
      <c r="K7" s="333">
        <v>7</v>
      </c>
      <c r="L7" s="333">
        <v>8</v>
      </c>
      <c r="M7" s="333">
        <v>9</v>
      </c>
      <c r="N7" s="333">
        <v>10</v>
      </c>
    </row>
    <row r="8" spans="1:16" ht="21.6" customHeight="1">
      <c r="A8" s="226" t="s">
        <v>137</v>
      </c>
      <c r="B8" s="278">
        <v>1</v>
      </c>
      <c r="C8" s="279">
        <v>0</v>
      </c>
      <c r="D8" s="213"/>
      <c r="E8" s="104">
        <f>①売上の積算!$K$30/1000*$B8*(1+$C8)*①売上の積算!$K$33/12</f>
        <v>20592</v>
      </c>
      <c r="F8" s="104">
        <f>①売上の積算!$K$30/1000*$B8*(1+$C8)*(1+$C$8)</f>
        <v>20592</v>
      </c>
      <c r="G8" s="6">
        <f t="shared" ref="G8:N8" si="3">+F8*(1+$C$8)</f>
        <v>20592</v>
      </c>
      <c r="H8" s="6">
        <f t="shared" si="3"/>
        <v>20592</v>
      </c>
      <c r="I8" s="6">
        <f t="shared" si="3"/>
        <v>20592</v>
      </c>
      <c r="J8" s="6">
        <f t="shared" si="3"/>
        <v>20592</v>
      </c>
      <c r="K8" s="6">
        <f t="shared" si="3"/>
        <v>20592</v>
      </c>
      <c r="L8" s="6">
        <f t="shared" si="3"/>
        <v>20592</v>
      </c>
      <c r="M8" s="6">
        <f t="shared" si="3"/>
        <v>20592</v>
      </c>
      <c r="N8" s="6">
        <f t="shared" si="3"/>
        <v>20592</v>
      </c>
    </row>
    <row r="9" spans="1:16" ht="15.75" customHeight="1">
      <c r="A9" s="42" t="s">
        <v>199</v>
      </c>
      <c r="B9" s="480"/>
      <c r="C9" s="476"/>
      <c r="D9" s="39"/>
      <c r="E9" s="8">
        <f>+E8*-0.4</f>
        <v>-8236.8000000000011</v>
      </c>
      <c r="F9" s="8">
        <f>+F8*-0.2</f>
        <v>-4118.4000000000005</v>
      </c>
      <c r="G9" s="8"/>
      <c r="H9" s="8"/>
      <c r="I9" s="8"/>
      <c r="J9" s="8"/>
      <c r="K9" s="8"/>
      <c r="L9" s="8"/>
      <c r="M9" s="8"/>
      <c r="N9" s="8"/>
    </row>
    <row r="10" spans="1:16" ht="15.75" customHeight="1">
      <c r="A10" s="42" t="s">
        <v>200</v>
      </c>
      <c r="B10" s="480"/>
      <c r="C10" s="476"/>
      <c r="D10" s="39"/>
      <c r="E10" s="8"/>
      <c r="F10" s="8"/>
      <c r="G10" s="8"/>
      <c r="H10" s="8"/>
      <c r="I10" s="8">
        <f>+I8*0.05</f>
        <v>1029.6000000000001</v>
      </c>
      <c r="J10" s="8">
        <f>+J8*0.1</f>
        <v>2059.2000000000003</v>
      </c>
      <c r="K10" s="8">
        <f>+K8*0.15</f>
        <v>3088.7999999999997</v>
      </c>
      <c r="L10" s="8">
        <f>+L8*0.2</f>
        <v>4118.4000000000005</v>
      </c>
      <c r="M10" s="8">
        <f>+M8*0.25</f>
        <v>5148</v>
      </c>
      <c r="N10" s="8">
        <f>+N8*0.3</f>
        <v>6177.5999999999995</v>
      </c>
    </row>
    <row r="11" spans="1:16" ht="15.75" customHeight="1">
      <c r="A11" s="42" t="s">
        <v>201</v>
      </c>
      <c r="B11" s="480"/>
      <c r="C11" s="476"/>
      <c r="D11" s="39"/>
      <c r="E11" s="8"/>
      <c r="F11" s="8"/>
      <c r="G11" s="8"/>
      <c r="H11" s="8"/>
      <c r="I11" s="8"/>
      <c r="J11" s="8"/>
      <c r="K11" s="8"/>
      <c r="L11" s="8"/>
      <c r="M11" s="8"/>
      <c r="N11" s="8"/>
    </row>
    <row r="12" spans="1:16" ht="15.75" customHeight="1">
      <c r="A12" s="42" t="s">
        <v>343</v>
      </c>
      <c r="B12" s="480"/>
      <c r="C12" s="476"/>
      <c r="D12" s="39"/>
      <c r="E12" s="8"/>
      <c r="F12" s="8"/>
      <c r="G12" s="8"/>
      <c r="H12" s="8"/>
      <c r="I12" s="8"/>
      <c r="J12" s="8"/>
      <c r="K12" s="8"/>
      <c r="L12" s="8"/>
      <c r="M12" s="8"/>
      <c r="N12" s="8"/>
    </row>
    <row r="13" spans="1:16" ht="15.75" customHeight="1">
      <c r="A13" s="42" t="s">
        <v>344</v>
      </c>
      <c r="B13" s="475"/>
      <c r="C13" s="476"/>
      <c r="D13" s="39"/>
      <c r="E13" s="8"/>
      <c r="F13" s="8"/>
      <c r="G13" s="8"/>
      <c r="H13" s="8"/>
      <c r="I13" s="8"/>
      <c r="J13" s="8"/>
      <c r="K13" s="8"/>
      <c r="L13" s="8"/>
      <c r="M13" s="8"/>
      <c r="N13" s="8"/>
    </row>
    <row r="14" spans="1:16" ht="15.75" customHeight="1">
      <c r="A14" s="38" t="s">
        <v>341</v>
      </c>
      <c r="B14" s="517" t="s">
        <v>357</v>
      </c>
      <c r="C14" s="112"/>
      <c r="D14" s="39"/>
      <c r="E14" s="8"/>
      <c r="F14" s="8"/>
      <c r="G14" s="8"/>
      <c r="H14" s="8">
        <f>+H8*0.02</f>
        <v>411.84000000000003</v>
      </c>
      <c r="I14" s="8">
        <f>+H14*1.5</f>
        <v>617.76</v>
      </c>
      <c r="J14" s="8">
        <f t="shared" ref="J14:N14" si="4">+I14*1.5</f>
        <v>926.64</v>
      </c>
      <c r="K14" s="8">
        <f t="shared" si="4"/>
        <v>1389.96</v>
      </c>
      <c r="L14" s="8">
        <f t="shared" si="4"/>
        <v>2084.94</v>
      </c>
      <c r="M14" s="8">
        <f t="shared" si="4"/>
        <v>3127.41</v>
      </c>
      <c r="N14" s="8">
        <f t="shared" si="4"/>
        <v>4691.1149999999998</v>
      </c>
    </row>
    <row r="15" spans="1:16" ht="15.75" customHeight="1">
      <c r="A15" s="38"/>
      <c r="B15" s="280"/>
      <c r="C15" s="112"/>
      <c r="D15" s="39"/>
      <c r="E15" s="8"/>
      <c r="F15" s="8"/>
      <c r="G15" s="8"/>
      <c r="H15" s="8"/>
      <c r="I15" s="8"/>
      <c r="J15" s="8"/>
      <c r="K15" s="8"/>
      <c r="L15" s="8"/>
      <c r="M15" s="8"/>
      <c r="N15" s="8"/>
    </row>
    <row r="16" spans="1:16" ht="15.75" customHeight="1">
      <c r="A16" s="38"/>
      <c r="B16" s="280"/>
      <c r="C16" s="112"/>
      <c r="D16" s="39"/>
      <c r="E16" s="8"/>
      <c r="F16" s="8"/>
      <c r="G16" s="8"/>
      <c r="H16" s="8"/>
      <c r="I16" s="8"/>
      <c r="J16" s="8"/>
      <c r="K16" s="8"/>
      <c r="L16" s="8"/>
      <c r="M16" s="8"/>
      <c r="N16" s="8"/>
    </row>
    <row r="17" spans="1:18" ht="15.75" customHeight="1">
      <c r="A17" s="38"/>
      <c r="B17" s="112"/>
      <c r="C17" s="112"/>
      <c r="D17" s="39"/>
      <c r="E17" s="8"/>
      <c r="F17" s="8"/>
      <c r="G17" s="8"/>
      <c r="H17" s="8"/>
      <c r="I17" s="8"/>
      <c r="J17" s="8"/>
      <c r="K17" s="8"/>
      <c r="L17" s="8"/>
      <c r="M17" s="8"/>
      <c r="N17" s="8"/>
    </row>
    <row r="18" spans="1:18" ht="15.75" customHeight="1" thickBot="1">
      <c r="A18" s="38"/>
      <c r="B18" s="13"/>
      <c r="C18" s="13"/>
      <c r="D18" s="39"/>
      <c r="E18" s="8"/>
      <c r="F18" s="8"/>
      <c r="G18" s="8"/>
      <c r="H18" s="8"/>
      <c r="I18" s="75"/>
      <c r="J18" s="8"/>
      <c r="K18" s="8"/>
      <c r="L18" s="8"/>
      <c r="M18" s="8"/>
      <c r="N18" s="8"/>
    </row>
    <row r="19" spans="1:18" s="56" customFormat="1" ht="25.5" customHeight="1" thickBot="1">
      <c r="A19" s="334" t="s">
        <v>1</v>
      </c>
      <c r="B19" s="335"/>
      <c r="C19" s="335"/>
      <c r="D19" s="334"/>
      <c r="E19" s="334">
        <f t="shared" ref="E19:N19" si="5">SUM(E8:E18)</f>
        <v>12355.199999999999</v>
      </c>
      <c r="F19" s="334">
        <f t="shared" si="5"/>
        <v>16473.599999999999</v>
      </c>
      <c r="G19" s="334">
        <f t="shared" si="5"/>
        <v>20592</v>
      </c>
      <c r="H19" s="334">
        <f t="shared" si="5"/>
        <v>21003.84</v>
      </c>
      <c r="I19" s="334">
        <f t="shared" si="5"/>
        <v>22239.359999999997</v>
      </c>
      <c r="J19" s="334">
        <f t="shared" si="5"/>
        <v>23577.84</v>
      </c>
      <c r="K19" s="334">
        <f t="shared" si="5"/>
        <v>25070.76</v>
      </c>
      <c r="L19" s="334">
        <f t="shared" si="5"/>
        <v>26795.34</v>
      </c>
      <c r="M19" s="334">
        <f t="shared" si="5"/>
        <v>28867.41</v>
      </c>
      <c r="N19" s="334">
        <f t="shared" si="5"/>
        <v>31460.714999999997</v>
      </c>
      <c r="O19" s="269">
        <f>+N19</f>
        <v>31460.714999999997</v>
      </c>
    </row>
    <row r="20" spans="1:18" s="11" customFormat="1" ht="24" customHeight="1">
      <c r="A20" s="470" t="s">
        <v>317</v>
      </c>
      <c r="C20" s="455">
        <f>1-①売上の積算!N30</f>
        <v>0.55487179487179483</v>
      </c>
      <c r="D20" s="39"/>
      <c r="E20" s="6">
        <f>+E8*$C$20</f>
        <v>11425.92</v>
      </c>
      <c r="F20" s="6">
        <f t="shared" ref="F20:N20" si="6">+F8*$C$20</f>
        <v>11425.92</v>
      </c>
      <c r="G20" s="6">
        <f t="shared" si="6"/>
        <v>11425.92</v>
      </c>
      <c r="H20" s="6">
        <f t="shared" si="6"/>
        <v>11425.92</v>
      </c>
      <c r="I20" s="6">
        <f t="shared" si="6"/>
        <v>11425.92</v>
      </c>
      <c r="J20" s="6">
        <f t="shared" si="6"/>
        <v>11425.92</v>
      </c>
      <c r="K20" s="6">
        <f t="shared" si="6"/>
        <v>11425.92</v>
      </c>
      <c r="L20" s="6">
        <f t="shared" si="6"/>
        <v>11425.92</v>
      </c>
      <c r="M20" s="6">
        <f t="shared" si="6"/>
        <v>11425.92</v>
      </c>
      <c r="N20" s="6">
        <f t="shared" si="6"/>
        <v>11425.92</v>
      </c>
    </row>
    <row r="21" spans="1:18" s="11" customFormat="1" ht="15.75" customHeight="1">
      <c r="A21" s="6" t="s">
        <v>202</v>
      </c>
      <c r="B21" s="4"/>
      <c r="C21" s="456">
        <f>+$C$20</f>
        <v>0.55487179487179483</v>
      </c>
      <c r="D21" s="39"/>
      <c r="E21" s="6">
        <f t="shared" ref="E21:N21" si="7">+E9*$C$21</f>
        <v>-4570.3680000000004</v>
      </c>
      <c r="F21" s="6">
        <f t="shared" si="7"/>
        <v>-2285.1840000000002</v>
      </c>
      <c r="G21" s="6">
        <f t="shared" si="7"/>
        <v>0</v>
      </c>
      <c r="H21" s="6">
        <f t="shared" si="7"/>
        <v>0</v>
      </c>
      <c r="I21" s="6">
        <f t="shared" si="7"/>
        <v>0</v>
      </c>
      <c r="J21" s="6">
        <f t="shared" si="7"/>
        <v>0</v>
      </c>
      <c r="K21" s="6">
        <f t="shared" si="7"/>
        <v>0</v>
      </c>
      <c r="L21" s="6">
        <f t="shared" si="7"/>
        <v>0</v>
      </c>
      <c r="M21" s="6">
        <f t="shared" si="7"/>
        <v>0</v>
      </c>
      <c r="N21" s="6">
        <f t="shared" si="7"/>
        <v>0</v>
      </c>
    </row>
    <row r="22" spans="1:18" s="11" customFormat="1" ht="15.75" customHeight="1">
      <c r="A22" s="6" t="s">
        <v>203</v>
      </c>
      <c r="B22" s="4"/>
      <c r="C22" s="456">
        <f t="shared" ref="C22:C25" si="8">+$C$20</f>
        <v>0.55487179487179483</v>
      </c>
      <c r="D22" s="39"/>
      <c r="E22" s="6">
        <f>+E10*$C22</f>
        <v>0</v>
      </c>
      <c r="F22" s="6">
        <f t="shared" ref="F22:N24" si="9">+F10*$C22</f>
        <v>0</v>
      </c>
      <c r="G22" s="6">
        <f t="shared" si="9"/>
        <v>0</v>
      </c>
      <c r="H22" s="6">
        <f t="shared" si="9"/>
        <v>0</v>
      </c>
      <c r="I22" s="6">
        <f t="shared" si="9"/>
        <v>571.29600000000005</v>
      </c>
      <c r="J22" s="6">
        <f t="shared" si="9"/>
        <v>1142.5920000000001</v>
      </c>
      <c r="K22" s="6">
        <f t="shared" si="9"/>
        <v>1713.8879999999997</v>
      </c>
      <c r="L22" s="6">
        <f t="shared" si="9"/>
        <v>2285.1840000000002</v>
      </c>
      <c r="M22" s="6">
        <f t="shared" si="9"/>
        <v>2856.48</v>
      </c>
      <c r="N22" s="6">
        <f t="shared" si="9"/>
        <v>3427.7759999999994</v>
      </c>
    </row>
    <row r="23" spans="1:18" s="11" customFormat="1" ht="15.75" customHeight="1">
      <c r="A23" s="6" t="s">
        <v>204</v>
      </c>
      <c r="B23" s="4"/>
      <c r="C23" s="456">
        <f t="shared" si="8"/>
        <v>0.55487179487179483</v>
      </c>
      <c r="D23" s="39"/>
      <c r="E23" s="6">
        <f>+E11*$C23</f>
        <v>0</v>
      </c>
      <c r="F23" s="6">
        <f t="shared" si="9"/>
        <v>0</v>
      </c>
      <c r="G23" s="6">
        <f t="shared" si="9"/>
        <v>0</v>
      </c>
      <c r="H23" s="6">
        <f t="shared" si="9"/>
        <v>0</v>
      </c>
      <c r="I23" s="6">
        <f t="shared" si="9"/>
        <v>0</v>
      </c>
      <c r="J23" s="6">
        <f t="shared" si="9"/>
        <v>0</v>
      </c>
      <c r="K23" s="6">
        <f t="shared" si="9"/>
        <v>0</v>
      </c>
      <c r="L23" s="6">
        <f t="shared" si="9"/>
        <v>0</v>
      </c>
      <c r="M23" s="6">
        <f t="shared" si="9"/>
        <v>0</v>
      </c>
      <c r="N23" s="6">
        <f t="shared" si="9"/>
        <v>0</v>
      </c>
    </row>
    <row r="24" spans="1:18" s="11" customFormat="1" ht="15.75" customHeight="1">
      <c r="A24" s="6" t="s">
        <v>345</v>
      </c>
      <c r="B24" s="4"/>
      <c r="C24" s="456">
        <f t="shared" si="8"/>
        <v>0.55487179487179483</v>
      </c>
      <c r="D24" s="39"/>
      <c r="E24" s="6">
        <f>+E12*$C24</f>
        <v>0</v>
      </c>
      <c r="F24" s="6">
        <f t="shared" si="9"/>
        <v>0</v>
      </c>
      <c r="G24" s="6">
        <f t="shared" si="9"/>
        <v>0</v>
      </c>
      <c r="H24" s="6">
        <f t="shared" si="9"/>
        <v>0</v>
      </c>
      <c r="I24" s="6">
        <f t="shared" si="9"/>
        <v>0</v>
      </c>
      <c r="J24" s="6">
        <f t="shared" si="9"/>
        <v>0</v>
      </c>
      <c r="K24" s="6">
        <f t="shared" si="9"/>
        <v>0</v>
      </c>
      <c r="L24" s="6">
        <f t="shared" si="9"/>
        <v>0</v>
      </c>
      <c r="M24" s="6">
        <f t="shared" si="9"/>
        <v>0</v>
      </c>
      <c r="N24" s="6">
        <f t="shared" si="9"/>
        <v>0</v>
      </c>
    </row>
    <row r="25" spans="1:18" s="11" customFormat="1" ht="15.75" customHeight="1">
      <c r="A25" s="6" t="s">
        <v>346</v>
      </c>
      <c r="B25" s="4"/>
      <c r="C25" s="456">
        <f t="shared" si="8"/>
        <v>0.55487179487179483</v>
      </c>
      <c r="D25" s="39"/>
      <c r="E25" s="6">
        <f>+E13*$C25</f>
        <v>0</v>
      </c>
      <c r="F25" s="6">
        <f t="shared" ref="F25:N25" si="10">+F13*$C25</f>
        <v>0</v>
      </c>
      <c r="G25" s="6">
        <f t="shared" si="10"/>
        <v>0</v>
      </c>
      <c r="H25" s="6">
        <f t="shared" si="10"/>
        <v>0</v>
      </c>
      <c r="I25" s="6">
        <f t="shared" si="10"/>
        <v>0</v>
      </c>
      <c r="J25" s="6">
        <f t="shared" si="10"/>
        <v>0</v>
      </c>
      <c r="K25" s="6">
        <f t="shared" si="10"/>
        <v>0</v>
      </c>
      <c r="L25" s="6">
        <f t="shared" si="10"/>
        <v>0</v>
      </c>
      <c r="M25" s="6">
        <f t="shared" si="10"/>
        <v>0</v>
      </c>
      <c r="N25" s="6">
        <f t="shared" si="10"/>
        <v>0</v>
      </c>
    </row>
    <row r="26" spans="1:18" s="11" customFormat="1" ht="15.75" customHeight="1">
      <c r="A26" s="8" t="s">
        <v>342</v>
      </c>
      <c r="B26" s="13"/>
      <c r="C26" s="456">
        <v>0.4</v>
      </c>
      <c r="D26" s="39"/>
      <c r="E26" s="8"/>
      <c r="F26" s="8"/>
      <c r="G26" s="8"/>
      <c r="H26" s="8">
        <f>+$C$26*H14</f>
        <v>164.73600000000002</v>
      </c>
      <c r="I26" s="8">
        <f t="shared" ref="I26:N26" si="11">+$C$26*I14</f>
        <v>247.10400000000001</v>
      </c>
      <c r="J26" s="8">
        <f t="shared" si="11"/>
        <v>370.65600000000001</v>
      </c>
      <c r="K26" s="8">
        <f t="shared" si="11"/>
        <v>555.98400000000004</v>
      </c>
      <c r="L26" s="8">
        <f t="shared" si="11"/>
        <v>833.97600000000011</v>
      </c>
      <c r="M26" s="8">
        <f t="shared" si="11"/>
        <v>1250.9639999999999</v>
      </c>
      <c r="N26" s="8">
        <f t="shared" si="11"/>
        <v>1876.4459999999999</v>
      </c>
    </row>
    <row r="27" spans="1:18" s="11" customFormat="1" ht="15.75" customHeight="1">
      <c r="A27" s="8"/>
      <c r="B27" s="13"/>
      <c r="C27" s="456"/>
      <c r="D27" s="39"/>
      <c r="E27" s="8"/>
      <c r="F27" s="8"/>
      <c r="G27" s="8"/>
      <c r="H27" s="8"/>
      <c r="I27" s="8"/>
      <c r="J27" s="8"/>
      <c r="K27" s="8"/>
      <c r="L27" s="8"/>
      <c r="M27" s="8"/>
      <c r="N27" s="8"/>
    </row>
    <row r="28" spans="1:18" s="11" customFormat="1" ht="15.75" customHeight="1">
      <c r="A28" s="8"/>
      <c r="B28" s="13"/>
      <c r="C28" s="456"/>
      <c r="D28" s="39"/>
      <c r="E28" s="8"/>
      <c r="F28" s="8"/>
      <c r="G28" s="8"/>
      <c r="H28" s="8"/>
      <c r="I28" s="8"/>
      <c r="J28" s="8"/>
      <c r="K28" s="8"/>
      <c r="L28" s="8"/>
      <c r="M28" s="8"/>
      <c r="N28" s="8"/>
    </row>
    <row r="29" spans="1:18" s="11" customFormat="1" ht="15.75" customHeight="1">
      <c r="A29" s="8"/>
      <c r="B29" s="13"/>
      <c r="C29" s="456"/>
      <c r="D29" s="39"/>
      <c r="E29" s="8"/>
      <c r="F29" s="8"/>
      <c r="G29" s="8"/>
      <c r="H29" s="8"/>
      <c r="I29" s="8"/>
      <c r="J29" s="8"/>
      <c r="K29" s="8"/>
      <c r="L29" s="8"/>
      <c r="M29" s="8"/>
      <c r="N29" s="8"/>
    </row>
    <row r="30" spans="1:18" s="11" customFormat="1" ht="15.75" customHeight="1">
      <c r="A30" s="8"/>
      <c r="B30" s="13"/>
      <c r="C30" s="456"/>
      <c r="D30" s="39"/>
      <c r="E30" s="8"/>
      <c r="F30" s="8"/>
      <c r="G30" s="8"/>
      <c r="H30" s="8"/>
      <c r="I30" s="8"/>
      <c r="J30" s="8"/>
      <c r="K30" s="8"/>
      <c r="L30" s="8"/>
      <c r="M30" s="8"/>
      <c r="N30" s="8"/>
    </row>
    <row r="31" spans="1:18" s="56" customFormat="1" ht="22.9" customHeight="1">
      <c r="A31" s="336" t="s">
        <v>2</v>
      </c>
      <c r="B31" s="337"/>
      <c r="C31" s="338">
        <f>IF(E19=0,"",E31/E19)</f>
        <v>0.55487179487179494</v>
      </c>
      <c r="D31" s="339"/>
      <c r="E31" s="339">
        <f>SUM(E20:E30)</f>
        <v>6855.5519999999997</v>
      </c>
      <c r="F31" s="339">
        <f t="shared" ref="F31:N31" si="12">SUM(F20:F30)</f>
        <v>9140.7360000000008</v>
      </c>
      <c r="G31" s="339">
        <f t="shared" si="12"/>
        <v>11425.92</v>
      </c>
      <c r="H31" s="339">
        <f t="shared" si="12"/>
        <v>11590.656000000001</v>
      </c>
      <c r="I31" s="339">
        <f t="shared" si="12"/>
        <v>12244.32</v>
      </c>
      <c r="J31" s="339">
        <f t="shared" si="12"/>
        <v>12939.168000000001</v>
      </c>
      <c r="K31" s="339">
        <f t="shared" si="12"/>
        <v>13695.791999999999</v>
      </c>
      <c r="L31" s="339">
        <f t="shared" si="12"/>
        <v>14545.08</v>
      </c>
      <c r="M31" s="339">
        <f t="shared" si="12"/>
        <v>15533.364</v>
      </c>
      <c r="N31" s="339">
        <f t="shared" si="12"/>
        <v>16730.142</v>
      </c>
      <c r="R31" s="56">
        <v>9</v>
      </c>
    </row>
    <row r="32" spans="1:18" s="61" customFormat="1" ht="21.6" customHeight="1">
      <c r="A32" s="58" t="s">
        <v>3</v>
      </c>
      <c r="B32" s="59"/>
      <c r="C32" s="60"/>
      <c r="D32" s="215"/>
      <c r="E32" s="58">
        <f t="shared" ref="E32:N32" si="13">+E19-E31</f>
        <v>5499.6479999999992</v>
      </c>
      <c r="F32" s="58">
        <f t="shared" si="13"/>
        <v>7332.8639999999978</v>
      </c>
      <c r="G32" s="58">
        <f t="shared" si="13"/>
        <v>9166.08</v>
      </c>
      <c r="H32" s="58">
        <f t="shared" si="13"/>
        <v>9413.1839999999993</v>
      </c>
      <c r="I32" s="58">
        <f t="shared" si="13"/>
        <v>9995.0399999999972</v>
      </c>
      <c r="J32" s="58">
        <f t="shared" si="13"/>
        <v>10638.671999999999</v>
      </c>
      <c r="K32" s="58">
        <f t="shared" si="13"/>
        <v>11374.967999999999</v>
      </c>
      <c r="L32" s="58">
        <f t="shared" si="13"/>
        <v>12250.26</v>
      </c>
      <c r="M32" s="58">
        <f t="shared" si="13"/>
        <v>13334.046</v>
      </c>
      <c r="N32" s="58">
        <f t="shared" si="13"/>
        <v>14730.572999999997</v>
      </c>
    </row>
    <row r="33" spans="1:15" s="57" customFormat="1" ht="18.75" customHeight="1">
      <c r="A33" s="62"/>
      <c r="B33" s="179" t="s">
        <v>166</v>
      </c>
      <c r="C33" s="76"/>
      <c r="D33" s="216"/>
      <c r="E33" s="177">
        <f t="shared" ref="E33:N33" si="14">+E32/E19</f>
        <v>0.44512820512820511</v>
      </c>
      <c r="F33" s="177">
        <f t="shared" si="14"/>
        <v>0.44512820512820506</v>
      </c>
      <c r="G33" s="177">
        <f t="shared" si="14"/>
        <v>0.44512820512820511</v>
      </c>
      <c r="H33" s="177">
        <f t="shared" si="14"/>
        <v>0.44816490698843636</v>
      </c>
      <c r="I33" s="177">
        <f t="shared" si="14"/>
        <v>0.44943019943019935</v>
      </c>
      <c r="J33" s="177">
        <f t="shared" si="14"/>
        <v>0.45121486955548085</v>
      </c>
      <c r="K33" s="177">
        <f t="shared" si="14"/>
        <v>0.4537145264044648</v>
      </c>
      <c r="L33" s="177">
        <f t="shared" si="14"/>
        <v>0.45717874824503069</v>
      </c>
      <c r="M33" s="177">
        <f t="shared" si="14"/>
        <v>0.46190655829532334</v>
      </c>
      <c r="N33" s="177">
        <f t="shared" si="14"/>
        <v>0.46822117679143649</v>
      </c>
    </row>
    <row r="34" spans="1:15" s="64" customFormat="1" ht="24" customHeight="1">
      <c r="A34" s="178"/>
      <c r="B34" s="179"/>
      <c r="C34" s="63"/>
      <c r="D34" s="217"/>
      <c r="E34" s="63"/>
      <c r="F34" s="63"/>
      <c r="G34" s="63"/>
      <c r="H34" s="63"/>
      <c r="I34" s="63"/>
      <c r="J34" s="63"/>
      <c r="K34" s="63"/>
      <c r="L34" s="63"/>
      <c r="M34" s="63"/>
      <c r="N34" s="63"/>
    </row>
    <row r="35" spans="1:15" s="11" customFormat="1" ht="17.45" customHeight="1">
      <c r="A35" s="506" t="s">
        <v>142</v>
      </c>
      <c r="B35" s="430"/>
      <c r="C35" s="7"/>
      <c r="D35" s="39"/>
      <c r="E35" s="341">
        <f>+②経費の積算!C33</f>
        <v>6546</v>
      </c>
      <c r="F35" s="341">
        <f>+②経費の積算!D33</f>
        <v>6546.8</v>
      </c>
      <c r="G35" s="6">
        <f>+F35</f>
        <v>6546.8</v>
      </c>
      <c r="H35" s="6">
        <f t="shared" ref="H35:N35" si="15">+G35</f>
        <v>6546.8</v>
      </c>
      <c r="I35" s="6">
        <f t="shared" si="15"/>
        <v>6546.8</v>
      </c>
      <c r="J35" s="6">
        <f t="shared" si="15"/>
        <v>6546.8</v>
      </c>
      <c r="K35" s="6">
        <f t="shared" si="15"/>
        <v>6546.8</v>
      </c>
      <c r="L35" s="6">
        <f t="shared" si="15"/>
        <v>6546.8</v>
      </c>
      <c r="M35" s="6">
        <f t="shared" si="15"/>
        <v>6546.8</v>
      </c>
      <c r="N35" s="6">
        <f t="shared" si="15"/>
        <v>6546.8</v>
      </c>
      <c r="O35" s="1"/>
    </row>
    <row r="36" spans="1:15" s="11" customFormat="1" ht="17.45" customHeight="1">
      <c r="A36" s="340" t="s">
        <v>143</v>
      </c>
      <c r="B36" s="430"/>
      <c r="C36" s="111"/>
      <c r="D36" s="39"/>
      <c r="E36" s="341">
        <f>ROUND(④減価償却!E15/1000,0)</f>
        <v>1072</v>
      </c>
      <c r="F36" s="341">
        <f>ROUND(④減価償却!F15/1000,0)</f>
        <v>1072</v>
      </c>
      <c r="G36" s="341">
        <f>ROUND(④減価償却!G15/1000,0)</f>
        <v>1072</v>
      </c>
      <c r="H36" s="341">
        <f>ROUND(④減価償却!H15/1000,0)</f>
        <v>1072</v>
      </c>
      <c r="I36" s="341">
        <f>ROUND(④減価償却!I15/1000,0)</f>
        <v>1072</v>
      </c>
      <c r="J36" s="341">
        <f>ROUND(④減価償却!J15/1000,0)</f>
        <v>702</v>
      </c>
      <c r="K36" s="341">
        <f>ROUND(④減価償却!K15/1000,0)</f>
        <v>582</v>
      </c>
      <c r="L36" s="341">
        <f>ROUND(④減価償却!L15/1000,0)</f>
        <v>567</v>
      </c>
      <c r="M36" s="341">
        <f>ROUND(④減価償却!M15/1000,0)</f>
        <v>513</v>
      </c>
      <c r="N36" s="341">
        <f>ROUND(④減価償却!N15/1000,0)</f>
        <v>513</v>
      </c>
      <c r="O36" s="1"/>
    </row>
    <row r="37" spans="1:15" s="11" customFormat="1" ht="17.45" customHeight="1">
      <c r="A37" s="340" t="s">
        <v>144</v>
      </c>
      <c r="B37" s="430"/>
      <c r="C37" s="7"/>
      <c r="D37" s="39"/>
      <c r="E37" s="341">
        <f>+②経費の積算!C38</f>
        <v>0</v>
      </c>
      <c r="F37" s="341">
        <f>+②経費の積算!D38</f>
        <v>0</v>
      </c>
      <c r="G37" s="6">
        <f>+F37</f>
        <v>0</v>
      </c>
      <c r="H37" s="6">
        <f t="shared" ref="H37:N37" si="16">+G37</f>
        <v>0</v>
      </c>
      <c r="I37" s="6">
        <f t="shared" si="16"/>
        <v>0</v>
      </c>
      <c r="J37" s="6">
        <f t="shared" si="16"/>
        <v>0</v>
      </c>
      <c r="K37" s="6">
        <f t="shared" si="16"/>
        <v>0</v>
      </c>
      <c r="L37" s="6">
        <f t="shared" si="16"/>
        <v>0</v>
      </c>
      <c r="M37" s="6">
        <f t="shared" si="16"/>
        <v>0</v>
      </c>
      <c r="N37" s="6">
        <f t="shared" si="16"/>
        <v>0</v>
      </c>
      <c r="O37" s="1"/>
    </row>
    <row r="38" spans="1:15" s="11" customFormat="1">
      <c r="A38" s="8" t="s">
        <v>323</v>
      </c>
      <c r="B38" s="110" t="s">
        <v>347</v>
      </c>
      <c r="C38" s="293"/>
      <c r="D38" s="39"/>
      <c r="E38" s="294"/>
      <c r="F38" s="294"/>
      <c r="G38" s="8">
        <v>884</v>
      </c>
      <c r="H38" s="8">
        <v>884</v>
      </c>
      <c r="I38" s="8">
        <v>884</v>
      </c>
      <c r="J38" s="8">
        <f>884*2</f>
        <v>1768</v>
      </c>
      <c r="K38" s="8">
        <f t="shared" ref="K38:N38" si="17">884*2</f>
        <v>1768</v>
      </c>
      <c r="L38" s="8">
        <f t="shared" si="17"/>
        <v>1768</v>
      </c>
      <c r="M38" s="8">
        <f t="shared" si="17"/>
        <v>1768</v>
      </c>
      <c r="N38" s="8">
        <f t="shared" si="17"/>
        <v>1768</v>
      </c>
      <c r="O38" s="1"/>
    </row>
    <row r="39" spans="1:15" s="11" customFormat="1">
      <c r="A39" s="8" t="s">
        <v>324</v>
      </c>
      <c r="B39" s="110"/>
      <c r="C39" s="293">
        <v>0.02</v>
      </c>
      <c r="D39" s="39"/>
      <c r="E39" s="294"/>
      <c r="F39" s="294"/>
      <c r="G39" s="8">
        <f>+$C$39*G35*2</f>
        <v>261.87200000000001</v>
      </c>
      <c r="H39" s="8">
        <f>+$C$39*H35*1</f>
        <v>130.93600000000001</v>
      </c>
      <c r="I39" s="8">
        <f t="shared" ref="I39" si="18">+$C$39*I35*2</f>
        <v>261.87200000000001</v>
      </c>
      <c r="J39" s="8">
        <f>+$C$39*J35*3</f>
        <v>392.80799999999999</v>
      </c>
      <c r="K39" s="8">
        <f>+$C$39*K35*4</f>
        <v>523.74400000000003</v>
      </c>
      <c r="L39" s="8">
        <f>+$C$39*L35*5</f>
        <v>654.68000000000006</v>
      </c>
      <c r="M39" s="8">
        <f>+$C$39*M35*6</f>
        <v>785.61599999999999</v>
      </c>
      <c r="N39" s="8">
        <f>+$C$39*N35*7</f>
        <v>916.55200000000002</v>
      </c>
      <c r="O39" s="1"/>
    </row>
    <row r="40" spans="1:15" s="11" customFormat="1">
      <c r="A40" s="8"/>
      <c r="B40" s="110"/>
      <c r="C40" s="293"/>
      <c r="D40" s="39"/>
      <c r="E40" s="294"/>
      <c r="F40" s="294"/>
      <c r="G40" s="8"/>
      <c r="H40" s="8"/>
      <c r="I40" s="8"/>
      <c r="J40" s="8"/>
      <c r="K40" s="8"/>
      <c r="L40" s="8"/>
      <c r="M40" s="8"/>
      <c r="N40" s="8"/>
      <c r="O40" s="1"/>
    </row>
    <row r="41" spans="1:15" s="11" customFormat="1">
      <c r="A41" s="8"/>
      <c r="B41" s="110"/>
      <c r="C41" s="293"/>
      <c r="D41" s="39"/>
      <c r="E41" s="294"/>
      <c r="F41" s="294"/>
      <c r="G41" s="8"/>
      <c r="H41" s="8"/>
      <c r="I41" s="8"/>
      <c r="J41" s="8"/>
      <c r="K41" s="8"/>
      <c r="L41" s="8"/>
      <c r="M41" s="8"/>
      <c r="N41" s="8"/>
      <c r="O41" s="1"/>
    </row>
    <row r="42" spans="1:15" s="11" customFormat="1">
      <c r="A42" s="8"/>
      <c r="B42" s="110"/>
      <c r="C42" s="293"/>
      <c r="D42" s="39"/>
      <c r="E42" s="294"/>
      <c r="F42" s="294"/>
      <c r="G42" s="8"/>
      <c r="H42" s="8"/>
      <c r="I42" s="8"/>
      <c r="J42" s="8"/>
      <c r="K42" s="8"/>
      <c r="L42" s="8"/>
      <c r="M42" s="8"/>
      <c r="N42" s="8"/>
      <c r="O42" s="1"/>
    </row>
    <row r="43" spans="1:15" s="11" customFormat="1">
      <c r="A43" s="8"/>
      <c r="B43" s="40"/>
      <c r="C43" s="45"/>
      <c r="D43" s="39"/>
      <c r="E43" s="8"/>
      <c r="F43" s="8"/>
      <c r="G43" s="8"/>
      <c r="H43" s="8"/>
      <c r="I43" s="8"/>
      <c r="J43" s="8"/>
      <c r="K43" s="8"/>
      <c r="L43" s="8"/>
      <c r="M43" s="8"/>
      <c r="N43" s="8"/>
      <c r="O43" s="1"/>
    </row>
    <row r="44" spans="1:15" s="11" customFormat="1">
      <c r="A44" s="8"/>
      <c r="B44" s="40"/>
      <c r="C44" s="45"/>
      <c r="D44" s="9"/>
      <c r="E44" s="8"/>
      <c r="F44" s="8"/>
      <c r="G44" s="8"/>
      <c r="H44" s="8"/>
      <c r="I44" s="8"/>
      <c r="J44" s="8"/>
      <c r="K44" s="8"/>
      <c r="L44" s="8"/>
      <c r="M44" s="8"/>
      <c r="N44" s="8"/>
      <c r="O44" s="1"/>
    </row>
    <row r="45" spans="1:15" s="11" customFormat="1">
      <c r="A45" s="8"/>
      <c r="B45" s="40"/>
      <c r="C45" s="45"/>
      <c r="D45" s="9"/>
      <c r="E45" s="8"/>
      <c r="F45" s="8"/>
      <c r="G45" s="8"/>
      <c r="H45" s="8"/>
      <c r="I45" s="8"/>
      <c r="J45" s="8"/>
      <c r="K45" s="8"/>
      <c r="L45" s="8"/>
      <c r="M45" s="8"/>
      <c r="N45" s="8"/>
      <c r="O45" s="1"/>
    </row>
    <row r="46" spans="1:15" s="56" customFormat="1" ht="30.6" customHeight="1">
      <c r="A46" s="334" t="s">
        <v>176</v>
      </c>
      <c r="B46" s="343" t="s">
        <v>167</v>
      </c>
      <c r="C46" s="342"/>
      <c r="D46" s="334"/>
      <c r="E46" s="334">
        <f t="shared" ref="E46:N46" si="19">SUM(E35:E45)</f>
        <v>7618</v>
      </c>
      <c r="F46" s="334">
        <f t="shared" si="19"/>
        <v>7618.8</v>
      </c>
      <c r="G46" s="334">
        <f t="shared" si="19"/>
        <v>8764.6719999999987</v>
      </c>
      <c r="H46" s="334">
        <f t="shared" si="19"/>
        <v>8633.735999999999</v>
      </c>
      <c r="I46" s="334">
        <f t="shared" si="19"/>
        <v>8764.6719999999987</v>
      </c>
      <c r="J46" s="334">
        <f t="shared" si="19"/>
        <v>9409.6080000000002</v>
      </c>
      <c r="K46" s="334">
        <f t="shared" si="19"/>
        <v>9420.5439999999999</v>
      </c>
      <c r="L46" s="334">
        <f t="shared" si="19"/>
        <v>9536.48</v>
      </c>
      <c r="M46" s="334">
        <f t="shared" si="19"/>
        <v>9613.4159999999993</v>
      </c>
      <c r="N46" s="334">
        <f t="shared" si="19"/>
        <v>9744.351999999999</v>
      </c>
    </row>
    <row r="47" spans="1:15" s="56" customFormat="1" ht="18" customHeight="1">
      <c r="A47" s="246" t="s">
        <v>161</v>
      </c>
      <c r="B47" s="247" t="s">
        <v>164</v>
      </c>
      <c r="C47" s="247"/>
      <c r="D47" s="214"/>
      <c r="E47" s="71">
        <f t="shared" ref="E47:N47" si="20">+E32-E46</f>
        <v>-2118.3520000000008</v>
      </c>
      <c r="F47" s="71">
        <f t="shared" si="20"/>
        <v>-285.93600000000242</v>
      </c>
      <c r="G47" s="71">
        <f t="shared" si="20"/>
        <v>401.40800000000127</v>
      </c>
      <c r="H47" s="71">
        <f t="shared" si="20"/>
        <v>779.44800000000032</v>
      </c>
      <c r="I47" s="71">
        <f t="shared" si="20"/>
        <v>1230.3679999999986</v>
      </c>
      <c r="J47" s="71">
        <f t="shared" si="20"/>
        <v>1229.0639999999985</v>
      </c>
      <c r="K47" s="71">
        <f t="shared" si="20"/>
        <v>1954.4239999999991</v>
      </c>
      <c r="L47" s="71">
        <f t="shared" si="20"/>
        <v>2713.7800000000007</v>
      </c>
      <c r="M47" s="71">
        <f t="shared" si="20"/>
        <v>3720.630000000001</v>
      </c>
      <c r="N47" s="71">
        <f t="shared" si="20"/>
        <v>4986.2209999999977</v>
      </c>
    </row>
    <row r="48" spans="1:15" s="11" customFormat="1">
      <c r="A48" s="6"/>
      <c r="B48" s="429"/>
      <c r="C48" s="4"/>
      <c r="D48" s="6"/>
      <c r="E48" s="6"/>
      <c r="F48" s="6"/>
      <c r="G48" s="6"/>
      <c r="H48" s="6"/>
      <c r="I48" s="6"/>
      <c r="J48" s="6"/>
      <c r="K48" s="6"/>
      <c r="L48" s="6"/>
      <c r="M48" s="6"/>
      <c r="N48" s="6"/>
    </row>
    <row r="49" spans="1:14" s="11" customFormat="1">
      <c r="A49" s="14" t="s">
        <v>4</v>
      </c>
      <c r="B49" s="15"/>
      <c r="C49" s="7"/>
      <c r="D49" s="9"/>
      <c r="E49" s="460">
        <f>⑤借入金!AM5/1000*-1</f>
        <v>-186.07400000000001</v>
      </c>
      <c r="F49" s="460">
        <f>⑤借入金!AN5/1000*-1</f>
        <v>-169.12700000000001</v>
      </c>
      <c r="G49" s="460">
        <f>⑤借入金!AO5/1000*-1</f>
        <v>-149.322</v>
      </c>
      <c r="H49" s="460">
        <f>⑤借入金!AP5/1000*-1</f>
        <v>-129.518</v>
      </c>
      <c r="I49" s="460">
        <f>⑤借入金!AQ5/1000*-1</f>
        <v>-109.71299999999999</v>
      </c>
      <c r="J49" s="460">
        <f>⑤借入金!AR5/1000*-1</f>
        <v>-89.908000000000001</v>
      </c>
      <c r="K49" s="460">
        <f>⑤借入金!AS5/1000*-1</f>
        <v>-70.100999999999999</v>
      </c>
      <c r="L49" s="460">
        <f>⑤借入金!AT5/1000*-1</f>
        <v>-50.295000000000002</v>
      </c>
      <c r="M49" s="460">
        <f>⑤借入金!AU5/1000*-1</f>
        <v>-30.492000000000001</v>
      </c>
      <c r="N49" s="460">
        <f>⑤借入金!AV5/1000*-1</f>
        <v>-10.686999999999999</v>
      </c>
    </row>
    <row r="50" spans="1:14" s="56" customFormat="1" ht="18" customHeight="1">
      <c r="A50" s="71" t="s">
        <v>162</v>
      </c>
      <c r="B50" s="247" t="s">
        <v>172</v>
      </c>
      <c r="C50" s="247"/>
      <c r="D50" s="214"/>
      <c r="E50" s="71">
        <f t="shared" ref="E50:N50" si="21">SUM(E47:E49)</f>
        <v>-2304.4260000000008</v>
      </c>
      <c r="F50" s="71">
        <f t="shared" si="21"/>
        <v>-455.06300000000243</v>
      </c>
      <c r="G50" s="71">
        <f t="shared" si="21"/>
        <v>252.08600000000126</v>
      </c>
      <c r="H50" s="71">
        <f t="shared" si="21"/>
        <v>649.93000000000029</v>
      </c>
      <c r="I50" s="71">
        <f t="shared" si="21"/>
        <v>1120.6549999999986</v>
      </c>
      <c r="J50" s="71">
        <f t="shared" si="21"/>
        <v>1139.1559999999986</v>
      </c>
      <c r="K50" s="71">
        <f t="shared" si="21"/>
        <v>1884.322999999999</v>
      </c>
      <c r="L50" s="71">
        <f t="shared" si="21"/>
        <v>2663.4850000000006</v>
      </c>
      <c r="M50" s="71">
        <f t="shared" si="21"/>
        <v>3690.1380000000008</v>
      </c>
      <c r="N50" s="71">
        <f t="shared" si="21"/>
        <v>4975.5339999999978</v>
      </c>
    </row>
    <row r="51" spans="1:14" s="11" customFormat="1">
      <c r="A51" s="16" t="s">
        <v>5</v>
      </c>
      <c r="B51" s="293">
        <v>0.03</v>
      </c>
      <c r="C51" s="7"/>
      <c r="D51" s="9"/>
      <c r="E51" s="6">
        <f t="shared" ref="E51:N51" si="22">+ROUND(E68*$B$51,0)*-1</f>
        <v>-38</v>
      </c>
      <c r="F51" s="6">
        <f t="shared" si="22"/>
        <v>-6</v>
      </c>
      <c r="G51" s="6">
        <f t="shared" si="22"/>
        <v>0</v>
      </c>
      <c r="H51" s="6">
        <f t="shared" si="22"/>
        <v>-115</v>
      </c>
      <c r="I51" s="6">
        <f t="shared" si="22"/>
        <v>0</v>
      </c>
      <c r="J51" s="6">
        <f t="shared" si="22"/>
        <v>0</v>
      </c>
      <c r="K51" s="6">
        <f t="shared" si="22"/>
        <v>0</v>
      </c>
      <c r="L51" s="6">
        <f t="shared" si="22"/>
        <v>0</v>
      </c>
      <c r="M51" s="6">
        <f t="shared" si="22"/>
        <v>0</v>
      </c>
      <c r="N51" s="6">
        <f t="shared" si="22"/>
        <v>0</v>
      </c>
    </row>
    <row r="52" spans="1:14" s="72" customFormat="1" ht="20.45" customHeight="1">
      <c r="A52" s="71" t="s">
        <v>163</v>
      </c>
      <c r="B52" s="248" t="s">
        <v>165</v>
      </c>
      <c r="C52" s="248"/>
      <c r="D52" s="214"/>
      <c r="E52" s="71">
        <f t="shared" ref="E52:N52" si="23">+E50+E51</f>
        <v>-2342.4260000000008</v>
      </c>
      <c r="F52" s="71">
        <f t="shared" si="23"/>
        <v>-461.06300000000243</v>
      </c>
      <c r="G52" s="71">
        <f t="shared" si="23"/>
        <v>252.08600000000126</v>
      </c>
      <c r="H52" s="71">
        <f t="shared" si="23"/>
        <v>534.93000000000029</v>
      </c>
      <c r="I52" s="71">
        <f t="shared" si="23"/>
        <v>1120.6549999999986</v>
      </c>
      <c r="J52" s="71">
        <f t="shared" si="23"/>
        <v>1139.1559999999986</v>
      </c>
      <c r="K52" s="71">
        <f t="shared" si="23"/>
        <v>1884.322999999999</v>
      </c>
      <c r="L52" s="71">
        <f t="shared" si="23"/>
        <v>2663.4850000000006</v>
      </c>
      <c r="M52" s="71">
        <f t="shared" si="23"/>
        <v>3690.1380000000008</v>
      </c>
      <c r="N52" s="71">
        <f t="shared" si="23"/>
        <v>4975.5339999999978</v>
      </c>
    </row>
    <row r="53" spans="1:14" s="49" customFormat="1" ht="15.75" customHeight="1">
      <c r="A53" s="50"/>
      <c r="B53" s="51"/>
      <c r="C53" s="51"/>
      <c r="D53" s="50"/>
      <c r="E53" s="50"/>
      <c r="F53" s="50"/>
      <c r="G53" s="50"/>
      <c r="H53" s="50"/>
      <c r="I53" s="50"/>
      <c r="J53" s="50"/>
      <c r="K53" s="50"/>
      <c r="L53" s="50"/>
      <c r="M53" s="50"/>
      <c r="N53" s="50"/>
    </row>
    <row r="54" spans="1:14" ht="51.6" customHeight="1">
      <c r="A54" s="66" t="s">
        <v>361</v>
      </c>
      <c r="B54" s="5"/>
      <c r="C54" s="16"/>
      <c r="D54" s="218"/>
      <c r="E54" s="105">
        <f t="shared" ref="E54:N54" si="24">+E3</f>
        <v>1</v>
      </c>
      <c r="F54" s="105">
        <f t="shared" si="24"/>
        <v>2</v>
      </c>
      <c r="G54" s="105">
        <f t="shared" si="24"/>
        <v>3</v>
      </c>
      <c r="H54" s="105">
        <f t="shared" si="24"/>
        <v>4</v>
      </c>
      <c r="I54" s="105">
        <f t="shared" si="24"/>
        <v>5</v>
      </c>
      <c r="J54" s="105">
        <f t="shared" si="24"/>
        <v>6</v>
      </c>
      <c r="K54" s="105">
        <f t="shared" si="24"/>
        <v>7</v>
      </c>
      <c r="L54" s="105">
        <f t="shared" si="24"/>
        <v>8</v>
      </c>
      <c r="M54" s="105">
        <f t="shared" si="24"/>
        <v>9</v>
      </c>
      <c r="N54" s="105">
        <f t="shared" si="24"/>
        <v>10</v>
      </c>
    </row>
    <row r="55" spans="1:14" s="11" customFormat="1" ht="19.149999999999999" customHeight="1">
      <c r="A55" s="6" t="s">
        <v>190</v>
      </c>
      <c r="B55" s="249" t="s">
        <v>362</v>
      </c>
      <c r="C55" s="4"/>
      <c r="D55" s="39"/>
      <c r="E55" s="211">
        <f t="shared" ref="E55:N55" si="25">+E50+E36</f>
        <v>-1232.4260000000008</v>
      </c>
      <c r="F55" s="211">
        <f t="shared" si="25"/>
        <v>616.93699999999762</v>
      </c>
      <c r="G55" s="211">
        <f t="shared" si="25"/>
        <v>1324.0860000000011</v>
      </c>
      <c r="H55" s="211">
        <f t="shared" si="25"/>
        <v>1721.9300000000003</v>
      </c>
      <c r="I55" s="211">
        <f t="shared" si="25"/>
        <v>2192.6549999999988</v>
      </c>
      <c r="J55" s="211">
        <f t="shared" si="25"/>
        <v>1841.1559999999986</v>
      </c>
      <c r="K55" s="211">
        <f t="shared" si="25"/>
        <v>2466.322999999999</v>
      </c>
      <c r="L55" s="211">
        <f t="shared" si="25"/>
        <v>3230.4850000000006</v>
      </c>
      <c r="M55" s="211">
        <f t="shared" si="25"/>
        <v>4203.1380000000008</v>
      </c>
      <c r="N55" s="211">
        <f t="shared" si="25"/>
        <v>5488.5339999999978</v>
      </c>
    </row>
    <row r="56" spans="1:14" s="11" customFormat="1" ht="19.149999999999999" customHeight="1">
      <c r="A56" s="14" t="s">
        <v>6</v>
      </c>
      <c r="B56" s="4"/>
      <c r="C56" s="12"/>
      <c r="D56" s="39"/>
      <c r="E56" s="461">
        <f>⑤借入金!AM6/1000*-1</f>
        <v>-495.12599999999998</v>
      </c>
      <c r="F56" s="461">
        <f>⑤借入金!AN6/1000*-1</f>
        <v>-990.25199999999995</v>
      </c>
      <c r="G56" s="461">
        <f>⑤借入金!AO6/1000*-1</f>
        <v>-990.25199999999995</v>
      </c>
      <c r="H56" s="461">
        <f>⑤借入金!AP6/1000*-1</f>
        <v>-990.25199999999995</v>
      </c>
      <c r="I56" s="461">
        <f>⑤借入金!AQ6/1000*-1</f>
        <v>-990.25199999999995</v>
      </c>
      <c r="J56" s="461">
        <f>⑤借入金!AR6/1000*-1</f>
        <v>-990.25199999999995</v>
      </c>
      <c r="K56" s="461">
        <f>⑤借入金!AS6/1000*-1</f>
        <v>-990.25199999999995</v>
      </c>
      <c r="L56" s="461">
        <f>⑤借入金!AT6/1000*-1</f>
        <v>-990.25199999999995</v>
      </c>
      <c r="M56" s="461">
        <f>⑤借入金!AU6/1000*-1</f>
        <v>-990.25199999999995</v>
      </c>
      <c r="N56" s="461">
        <f>⑤借入金!AV6/1000*-1</f>
        <v>-990.25199999999995</v>
      </c>
    </row>
    <row r="57" spans="1:14" s="11" customFormat="1" ht="19.149999999999999" customHeight="1">
      <c r="A57" s="6" t="s">
        <v>7</v>
      </c>
      <c r="B57" s="4"/>
      <c r="C57" s="4"/>
      <c r="D57" s="39"/>
      <c r="E57" s="457">
        <f>+評価・判断!J7</f>
        <v>2000</v>
      </c>
      <c r="F57" s="35">
        <f t="shared" ref="F57:N57" si="26">E71</f>
        <v>0.22922886597939396</v>
      </c>
      <c r="G57" s="35">
        <f t="shared" si="26"/>
        <v>-9.4732851525037631E-2</v>
      </c>
      <c r="H57" s="35">
        <f t="shared" si="26"/>
        <v>567.84390714847586</v>
      </c>
      <c r="I57" s="35">
        <f t="shared" si="26"/>
        <v>-0.46796166438571163</v>
      </c>
      <c r="J57" s="35">
        <f t="shared" si="26"/>
        <v>1250.5295183356131</v>
      </c>
      <c r="K57" s="35">
        <f t="shared" si="26"/>
        <v>2151.4892383356118</v>
      </c>
      <c r="L57" s="35">
        <f t="shared" si="26"/>
        <v>3679.8078183356101</v>
      </c>
      <c r="M57" s="35">
        <f t="shared" si="26"/>
        <v>5975.5761883356099</v>
      </c>
      <c r="N57" s="35">
        <f t="shared" si="26"/>
        <v>9248.9292433356095</v>
      </c>
    </row>
    <row r="58" spans="1:14" s="11" customFormat="1" ht="19.149999999999999" customHeight="1">
      <c r="A58" s="6" t="s">
        <v>293</v>
      </c>
      <c r="B58" s="4" t="s">
        <v>294</v>
      </c>
      <c r="C58" s="4"/>
      <c r="D58" s="39"/>
      <c r="E58" s="35">
        <f>-E75</f>
        <v>-308.59999999999991</v>
      </c>
      <c r="F58" s="35">
        <f>IF((E75-F75)&lt;0,E75-F75,F75-E75)</f>
        <v>-103.24000000000012</v>
      </c>
      <c r="G58" s="35">
        <f>IF((F75-G75)&lt;0,F75-G75,G75-F75)</f>
        <v>-102.96000000000004</v>
      </c>
      <c r="H58" s="35">
        <f>IF((G75-H75)&lt;0,G75-H75,H75-G75)</f>
        <v>-10.295999999999935</v>
      </c>
      <c r="I58" s="35">
        <f t="shared" ref="I58:N58" si="27">IF((H75-I75)&lt;0,H75-I75,I75-H75)</f>
        <v>-30.888000000000034</v>
      </c>
      <c r="J58" s="35">
        <f t="shared" si="27"/>
        <v>-33.461999999999989</v>
      </c>
      <c r="K58" s="35">
        <f t="shared" si="27"/>
        <v>-37.323000000000093</v>
      </c>
      <c r="L58" s="35">
        <f t="shared" si="27"/>
        <v>-43.114500000000021</v>
      </c>
      <c r="M58" s="35">
        <f t="shared" si="27"/>
        <v>-51.80174999999997</v>
      </c>
      <c r="N58" s="35">
        <f t="shared" si="27"/>
        <v>-64.832624999999894</v>
      </c>
    </row>
    <row r="59" spans="1:14" s="11" customFormat="1" ht="19.149999999999999" customHeight="1">
      <c r="A59" s="6" t="s">
        <v>295</v>
      </c>
      <c r="B59" s="4" t="s">
        <v>294</v>
      </c>
      <c r="C59" s="4"/>
      <c r="D59" s="39"/>
      <c r="E59" s="35">
        <f>-E76</f>
        <v>-228.51839999999999</v>
      </c>
      <c r="F59" s="35">
        <f>IF((E76-F76)&lt;0,E76-F76,F76-E76)</f>
        <v>-57.129599999999982</v>
      </c>
      <c r="G59" s="35">
        <f t="shared" ref="G59:N59" si="28">IF((F76-G76)&lt;0,F76-G76,G76-F76)</f>
        <v>-5.7129600000000096</v>
      </c>
      <c r="H59" s="35">
        <f t="shared" si="28"/>
        <v>-17.138879999999915</v>
      </c>
      <c r="I59" s="35">
        <f t="shared" si="28"/>
        <v>-18.567120000000045</v>
      </c>
      <c r="J59" s="35">
        <f t="shared" si="28"/>
        <v>-20.709480000000042</v>
      </c>
      <c r="K59" s="35">
        <f t="shared" si="28"/>
        <v>-23.923020000000008</v>
      </c>
      <c r="L59" s="35">
        <f t="shared" si="28"/>
        <v>-28.743329999999958</v>
      </c>
      <c r="M59" s="35">
        <f t="shared" si="28"/>
        <v>-35.973794999999939</v>
      </c>
      <c r="N59" s="35">
        <f t="shared" si="28"/>
        <v>0</v>
      </c>
    </row>
    <row r="60" spans="1:14" s="11" customFormat="1" ht="19.149999999999999" customHeight="1">
      <c r="A60" s="17" t="s">
        <v>296</v>
      </c>
      <c r="B60" s="4" t="s">
        <v>297</v>
      </c>
      <c r="C60" s="4"/>
      <c r="D60" s="39"/>
      <c r="E60" s="35">
        <f>+E86</f>
        <v>1028.5920000000006</v>
      </c>
      <c r="F60" s="35">
        <f>IF((E86-F86)&lt;0,F86-E86,E86-F86)</f>
        <v>342.5183999999997</v>
      </c>
      <c r="G60" s="35">
        <f t="shared" ref="G60:N60" si="29">IF((F86-G86)&lt;0,G86-F86,F86-G86)</f>
        <v>342.77759999999967</v>
      </c>
      <c r="H60" s="35">
        <f t="shared" si="29"/>
        <v>24.710400000000163</v>
      </c>
      <c r="I60" s="35">
        <f t="shared" si="29"/>
        <v>98.049600000000055</v>
      </c>
      <c r="J60" s="35">
        <f t="shared" si="29"/>
        <v>104.22720000000004</v>
      </c>
      <c r="K60" s="35">
        <f t="shared" si="29"/>
        <v>113.49360000000001</v>
      </c>
      <c r="L60" s="35">
        <f t="shared" si="29"/>
        <v>127.39319999999952</v>
      </c>
      <c r="M60" s="35">
        <f t="shared" si="29"/>
        <v>148.24260000000004</v>
      </c>
      <c r="N60" s="35">
        <f t="shared" si="29"/>
        <v>179.51670000000013</v>
      </c>
    </row>
    <row r="61" spans="1:14" s="185" customFormat="1" ht="19.149999999999999" customHeight="1" thickBot="1">
      <c r="A61" s="481" t="s">
        <v>325</v>
      </c>
      <c r="B61" s="420"/>
      <c r="C61" s="421"/>
      <c r="D61" s="422"/>
      <c r="E61" s="523">
        <f>+評価・判断!H6*-1</f>
        <v>-11407.5</v>
      </c>
      <c r="F61" s="423"/>
      <c r="G61" s="423"/>
      <c r="H61" s="423">
        <v>-5000</v>
      </c>
      <c r="I61" s="423"/>
      <c r="J61" s="423"/>
      <c r="K61" s="423"/>
      <c r="L61" s="423"/>
      <c r="M61" s="423"/>
      <c r="N61" s="423"/>
    </row>
    <row r="62" spans="1:14" s="185" customFormat="1" ht="19.149999999999999" customHeight="1">
      <c r="A62" s="432" t="s">
        <v>175</v>
      </c>
      <c r="B62" s="433" t="s">
        <v>174</v>
      </c>
      <c r="C62" s="433"/>
      <c r="D62" s="434"/>
      <c r="E62" s="469">
        <f>+評価・判断!C11*-1</f>
        <v>0</v>
      </c>
      <c r="F62" s="468">
        <f>+E62</f>
        <v>0</v>
      </c>
      <c r="G62" s="468">
        <f t="shared" ref="G62:N62" si="30">+F62</f>
        <v>0</v>
      </c>
      <c r="H62" s="468">
        <f t="shared" si="30"/>
        <v>0</v>
      </c>
      <c r="I62" s="468">
        <f t="shared" si="30"/>
        <v>0</v>
      </c>
      <c r="J62" s="468">
        <f t="shared" si="30"/>
        <v>0</v>
      </c>
      <c r="K62" s="468">
        <f t="shared" si="30"/>
        <v>0</v>
      </c>
      <c r="L62" s="468">
        <f t="shared" si="30"/>
        <v>0</v>
      </c>
      <c r="M62" s="468">
        <f t="shared" si="30"/>
        <v>0</v>
      </c>
      <c r="N62" s="468">
        <f t="shared" si="30"/>
        <v>0</v>
      </c>
    </row>
    <row r="63" spans="1:14" s="185" customFormat="1" ht="23.45" customHeight="1" thickBot="1">
      <c r="A63" s="435" t="s">
        <v>289</v>
      </c>
      <c r="B63" s="436"/>
      <c r="C63" s="437"/>
      <c r="D63" s="437"/>
      <c r="E63" s="471"/>
      <c r="F63" s="438"/>
      <c r="G63" s="438"/>
      <c r="H63" s="438"/>
      <c r="I63" s="438"/>
      <c r="J63" s="438"/>
      <c r="K63" s="438"/>
      <c r="L63" s="438"/>
      <c r="M63" s="438"/>
      <c r="N63" s="439"/>
    </row>
    <row r="64" spans="1:14" s="185" customFormat="1">
      <c r="A64" s="524" t="s">
        <v>326</v>
      </c>
      <c r="B64" s="525"/>
      <c r="C64" s="526"/>
      <c r="D64" s="428"/>
      <c r="E64" s="482">
        <f>(⑤借入金!F3+⑤借入金!Q3+⑤借入金!AB3)/1000</f>
        <v>9407.5</v>
      </c>
      <c r="F64" s="527"/>
      <c r="G64" s="527"/>
      <c r="H64" s="527"/>
      <c r="I64" s="527"/>
      <c r="J64" s="527"/>
      <c r="K64" s="527"/>
      <c r="L64" s="527"/>
      <c r="M64" s="527"/>
      <c r="N64" s="527"/>
    </row>
    <row r="65" spans="1:14" s="185" customFormat="1">
      <c r="A65" s="291"/>
      <c r="B65" s="292"/>
      <c r="C65" s="285"/>
      <c r="D65" s="431"/>
      <c r="E65" s="186"/>
      <c r="F65" s="186"/>
      <c r="G65" s="186"/>
      <c r="H65" s="186"/>
      <c r="I65" s="186"/>
      <c r="J65" s="186"/>
      <c r="K65" s="186"/>
      <c r="L65" s="186"/>
      <c r="M65" s="186"/>
      <c r="N65" s="186"/>
    </row>
    <row r="66" spans="1:14" s="185" customFormat="1">
      <c r="A66" s="291"/>
      <c r="B66" s="292"/>
      <c r="C66" s="285"/>
      <c r="D66" s="428"/>
      <c r="E66" s="186"/>
      <c r="F66" s="186"/>
      <c r="G66" s="186"/>
      <c r="H66" s="186"/>
      <c r="I66" s="186"/>
      <c r="J66" s="186"/>
      <c r="K66" s="186"/>
      <c r="L66" s="186"/>
      <c r="M66" s="186"/>
      <c r="N66" s="186"/>
    </row>
    <row r="67" spans="1:14" s="56" customFormat="1" ht="19.899999999999999" customHeight="1">
      <c r="A67" s="339" t="s">
        <v>8</v>
      </c>
      <c r="B67" s="342"/>
      <c r="C67" s="342"/>
      <c r="D67" s="342"/>
      <c r="E67" s="334">
        <f t="shared" ref="E67:N67" si="31">SUM(E55:E66)</f>
        <v>-1236.0784000000003</v>
      </c>
      <c r="F67" s="334">
        <f t="shared" si="31"/>
        <v>-190.93697113402334</v>
      </c>
      <c r="G67" s="334">
        <f t="shared" si="31"/>
        <v>567.84390714847586</v>
      </c>
      <c r="H67" s="334">
        <f t="shared" si="31"/>
        <v>-3703.2025728515237</v>
      </c>
      <c r="I67" s="334">
        <f t="shared" si="31"/>
        <v>1250.5295183356131</v>
      </c>
      <c r="J67" s="334">
        <f t="shared" si="31"/>
        <v>2151.4892383356118</v>
      </c>
      <c r="K67" s="334">
        <f t="shared" si="31"/>
        <v>3679.8078183356101</v>
      </c>
      <c r="L67" s="334">
        <f t="shared" si="31"/>
        <v>5975.5761883356099</v>
      </c>
      <c r="M67" s="334">
        <f t="shared" si="31"/>
        <v>9248.9292433356095</v>
      </c>
      <c r="N67" s="334">
        <f t="shared" si="31"/>
        <v>13861.895318335608</v>
      </c>
    </row>
    <row r="68" spans="1:14" s="11" customFormat="1" ht="16.149999999999999" customHeight="1">
      <c r="A68" s="6" t="s">
        <v>20</v>
      </c>
      <c r="B68" s="429" t="s">
        <v>173</v>
      </c>
      <c r="C68" s="4"/>
      <c r="D68" s="4"/>
      <c r="E68" s="6">
        <f t="shared" ref="E68:N68" si="32">IF(E67&lt;0,(E67/(1-$B$51))*-1,0)</f>
        <v>1274.3076288659797</v>
      </c>
      <c r="F68" s="6">
        <f t="shared" si="32"/>
        <v>196.8422382824983</v>
      </c>
      <c r="G68" s="6">
        <f t="shared" si="32"/>
        <v>0</v>
      </c>
      <c r="H68" s="6">
        <f t="shared" si="32"/>
        <v>3817.7346111871379</v>
      </c>
      <c r="I68" s="6">
        <f t="shared" si="32"/>
        <v>0</v>
      </c>
      <c r="J68" s="6">
        <f t="shared" si="32"/>
        <v>0</v>
      </c>
      <c r="K68" s="6">
        <f t="shared" si="32"/>
        <v>0</v>
      </c>
      <c r="L68" s="6">
        <f t="shared" si="32"/>
        <v>0</v>
      </c>
      <c r="M68" s="6">
        <f t="shared" si="32"/>
        <v>0</v>
      </c>
      <c r="N68" s="6">
        <f t="shared" si="32"/>
        <v>0</v>
      </c>
    </row>
    <row r="69" spans="1:14" s="56" customFormat="1" ht="16.149999999999999" customHeight="1">
      <c r="A69" s="339" t="s">
        <v>9</v>
      </c>
      <c r="B69" s="342"/>
      <c r="C69" s="342"/>
      <c r="D69" s="342"/>
      <c r="E69" s="334">
        <f t="shared" ref="E69:N69" si="33">+E67+E68</f>
        <v>38.229228865979394</v>
      </c>
      <c r="F69" s="334">
        <f t="shared" si="33"/>
        <v>5.9052671484749624</v>
      </c>
      <c r="G69" s="334">
        <f t="shared" si="33"/>
        <v>567.84390714847586</v>
      </c>
      <c r="H69" s="334">
        <f t="shared" si="33"/>
        <v>114.53203833561429</v>
      </c>
      <c r="I69" s="334">
        <f t="shared" si="33"/>
        <v>1250.5295183356131</v>
      </c>
      <c r="J69" s="334">
        <f t="shared" si="33"/>
        <v>2151.4892383356118</v>
      </c>
      <c r="K69" s="334">
        <f t="shared" si="33"/>
        <v>3679.8078183356101</v>
      </c>
      <c r="L69" s="334">
        <f t="shared" si="33"/>
        <v>5975.5761883356099</v>
      </c>
      <c r="M69" s="334">
        <f t="shared" si="33"/>
        <v>9248.9292433356095</v>
      </c>
      <c r="N69" s="334">
        <f t="shared" si="33"/>
        <v>13861.895318335608</v>
      </c>
    </row>
    <row r="70" spans="1:14" s="11" customFormat="1" ht="20.45" customHeight="1">
      <c r="A70" s="6" t="s">
        <v>10</v>
      </c>
      <c r="B70" s="4"/>
      <c r="C70" s="4"/>
      <c r="D70" s="39"/>
      <c r="E70" s="6">
        <f t="shared" ref="E70:N70" si="34">+E51</f>
        <v>-38</v>
      </c>
      <c r="F70" s="6">
        <f t="shared" si="34"/>
        <v>-6</v>
      </c>
      <c r="G70" s="6">
        <f t="shared" si="34"/>
        <v>0</v>
      </c>
      <c r="H70" s="6">
        <f t="shared" si="34"/>
        <v>-115</v>
      </c>
      <c r="I70" s="6">
        <f t="shared" si="34"/>
        <v>0</v>
      </c>
      <c r="J70" s="6">
        <f t="shared" si="34"/>
        <v>0</v>
      </c>
      <c r="K70" s="6">
        <f t="shared" si="34"/>
        <v>0</v>
      </c>
      <c r="L70" s="6">
        <f t="shared" si="34"/>
        <v>0</v>
      </c>
      <c r="M70" s="6">
        <f t="shared" si="34"/>
        <v>0</v>
      </c>
      <c r="N70" s="6">
        <f t="shared" si="34"/>
        <v>0</v>
      </c>
    </row>
    <row r="71" spans="1:14" s="11" customFormat="1" ht="21.6" customHeight="1">
      <c r="A71" s="18" t="s">
        <v>11</v>
      </c>
      <c r="B71" s="19"/>
      <c r="C71" s="41"/>
      <c r="D71" s="41"/>
      <c r="E71" s="18">
        <f t="shared" ref="E71:N71" si="35">+E69+E70</f>
        <v>0.22922886597939396</v>
      </c>
      <c r="F71" s="18">
        <f t="shared" si="35"/>
        <v>-9.4732851525037631E-2</v>
      </c>
      <c r="G71" s="18">
        <f t="shared" si="35"/>
        <v>567.84390714847586</v>
      </c>
      <c r="H71" s="18">
        <f t="shared" si="35"/>
        <v>-0.46796166438571163</v>
      </c>
      <c r="I71" s="18">
        <f t="shared" si="35"/>
        <v>1250.5295183356131</v>
      </c>
      <c r="J71" s="18">
        <f t="shared" si="35"/>
        <v>2151.4892383356118</v>
      </c>
      <c r="K71" s="18">
        <f t="shared" si="35"/>
        <v>3679.8078183356101</v>
      </c>
      <c r="L71" s="18">
        <f t="shared" si="35"/>
        <v>5975.5761883356099</v>
      </c>
      <c r="M71" s="18">
        <f t="shared" si="35"/>
        <v>9248.9292433356095</v>
      </c>
      <c r="N71" s="18">
        <f t="shared" si="35"/>
        <v>13861.895318335608</v>
      </c>
    </row>
    <row r="72" spans="1:14" s="49" customFormat="1" ht="15.75" customHeight="1">
      <c r="A72" s="47"/>
      <c r="B72" s="48"/>
      <c r="C72" s="48"/>
      <c r="D72" s="48"/>
      <c r="E72" s="55"/>
      <c r="F72" s="47"/>
      <c r="G72" s="47"/>
      <c r="H72" s="47"/>
      <c r="I72" s="47"/>
      <c r="J72" s="47"/>
      <c r="K72" s="47"/>
      <c r="L72" s="47"/>
      <c r="M72" s="47"/>
      <c r="N72" s="47"/>
    </row>
    <row r="73" spans="1:14" s="11" customFormat="1" ht="55.9" customHeight="1">
      <c r="A73" s="65" t="s">
        <v>12</v>
      </c>
      <c r="B73" s="20"/>
      <c r="C73" s="20"/>
      <c r="D73" s="219"/>
      <c r="E73" s="106">
        <f t="shared" ref="E73:N73" si="36">+E3</f>
        <v>1</v>
      </c>
      <c r="F73" s="106">
        <f t="shared" si="36"/>
        <v>2</v>
      </c>
      <c r="G73" s="106">
        <f t="shared" si="36"/>
        <v>3</v>
      </c>
      <c r="H73" s="106">
        <f t="shared" si="36"/>
        <v>4</v>
      </c>
      <c r="I73" s="106">
        <f t="shared" si="36"/>
        <v>5</v>
      </c>
      <c r="J73" s="106">
        <f t="shared" si="36"/>
        <v>6</v>
      </c>
      <c r="K73" s="106">
        <f t="shared" si="36"/>
        <v>7</v>
      </c>
      <c r="L73" s="106">
        <f t="shared" si="36"/>
        <v>8</v>
      </c>
      <c r="M73" s="106">
        <f t="shared" si="36"/>
        <v>9</v>
      </c>
      <c r="N73" s="106">
        <f t="shared" si="36"/>
        <v>10</v>
      </c>
    </row>
    <row r="74" spans="1:14" ht="17.45" customHeight="1" thickBot="1">
      <c r="A74" s="6" t="s">
        <v>13</v>
      </c>
      <c r="B74" s="4" t="s">
        <v>14</v>
      </c>
      <c r="C74" s="107"/>
      <c r="D74" s="9"/>
      <c r="E74" s="6">
        <f t="shared" ref="E74:N74" si="37">+E71</f>
        <v>0.22922886597939396</v>
      </c>
      <c r="F74" s="6">
        <f t="shared" si="37"/>
        <v>-9.4732851525037631E-2</v>
      </c>
      <c r="G74" s="6">
        <f t="shared" si="37"/>
        <v>567.84390714847586</v>
      </c>
      <c r="H74" s="6">
        <f t="shared" si="37"/>
        <v>-0.46796166438571163</v>
      </c>
      <c r="I74" s="6">
        <f t="shared" si="37"/>
        <v>1250.5295183356131</v>
      </c>
      <c r="J74" s="6">
        <f t="shared" si="37"/>
        <v>2151.4892383356118</v>
      </c>
      <c r="K74" s="6">
        <f t="shared" si="37"/>
        <v>3679.8078183356101</v>
      </c>
      <c r="L74" s="6">
        <f t="shared" si="37"/>
        <v>5975.5761883356099</v>
      </c>
      <c r="M74" s="6">
        <f t="shared" si="37"/>
        <v>9248.9292433356095</v>
      </c>
      <c r="N74" s="6">
        <f t="shared" si="37"/>
        <v>13861.895318335608</v>
      </c>
    </row>
    <row r="75" spans="1:14" ht="17.45" customHeight="1">
      <c r="A75" s="6" t="s">
        <v>171</v>
      </c>
      <c r="B75" s="458">
        <f>+⑦資金繰り表!C7</f>
        <v>1</v>
      </c>
      <c r="C75" s="459">
        <f>+⑦資金繰り表!B6</f>
        <v>0.30000000000000004</v>
      </c>
      <c r="D75" s="9"/>
      <c r="E75" s="104">
        <f>+⑦資金繰り表!Q7</f>
        <v>308.59999999999991</v>
      </c>
      <c r="F75" s="6">
        <f t="shared" ref="F75:N75" si="38">F19/12*$C$75*$B$75</f>
        <v>411.84000000000003</v>
      </c>
      <c r="G75" s="6">
        <f t="shared" si="38"/>
        <v>514.80000000000007</v>
      </c>
      <c r="H75" s="6">
        <f t="shared" si="38"/>
        <v>525.096</v>
      </c>
      <c r="I75" s="6">
        <f t="shared" si="38"/>
        <v>555.98400000000004</v>
      </c>
      <c r="J75" s="6">
        <f t="shared" si="38"/>
        <v>589.44600000000003</v>
      </c>
      <c r="K75" s="6">
        <f t="shared" si="38"/>
        <v>626.76900000000012</v>
      </c>
      <c r="L75" s="6">
        <f t="shared" si="38"/>
        <v>669.88350000000014</v>
      </c>
      <c r="M75" s="6">
        <f t="shared" si="38"/>
        <v>721.68525000000011</v>
      </c>
      <c r="N75" s="6">
        <f t="shared" si="38"/>
        <v>786.517875</v>
      </c>
    </row>
    <row r="76" spans="1:14" ht="17.45" customHeight="1" thickBot="1">
      <c r="A76" s="6" t="s">
        <v>15</v>
      </c>
      <c r="B76" s="254"/>
      <c r="C76" s="253">
        <v>0.3</v>
      </c>
      <c r="D76" s="39"/>
      <c r="E76" s="303">
        <f t="shared" ref="E76:N76" si="39">F19/12*$C$20*$C$76</f>
        <v>228.51839999999999</v>
      </c>
      <c r="F76" s="303">
        <f t="shared" si="39"/>
        <v>285.64799999999997</v>
      </c>
      <c r="G76" s="303">
        <f t="shared" si="39"/>
        <v>291.36095999999998</v>
      </c>
      <c r="H76" s="303">
        <f t="shared" si="39"/>
        <v>308.49983999999989</v>
      </c>
      <c r="I76" s="303">
        <f t="shared" si="39"/>
        <v>327.06695999999994</v>
      </c>
      <c r="J76" s="303">
        <f t="shared" si="39"/>
        <v>347.77643999999998</v>
      </c>
      <c r="K76" s="303">
        <f t="shared" si="39"/>
        <v>371.69945999999999</v>
      </c>
      <c r="L76" s="303">
        <f t="shared" si="39"/>
        <v>400.44278999999995</v>
      </c>
      <c r="M76" s="303">
        <f t="shared" si="39"/>
        <v>436.41658499999988</v>
      </c>
      <c r="N76" s="303">
        <f t="shared" si="39"/>
        <v>436.41658499999988</v>
      </c>
    </row>
    <row r="77" spans="1:14" s="11" customFormat="1">
      <c r="A77" s="6"/>
      <c r="B77" s="254"/>
      <c r="C77" s="254"/>
      <c r="D77" s="6"/>
      <c r="E77" s="6"/>
      <c r="F77" s="6"/>
      <c r="G77" s="6"/>
      <c r="H77" s="6"/>
      <c r="I77" s="6"/>
      <c r="J77" s="6"/>
      <c r="K77" s="6"/>
      <c r="L77" s="6"/>
      <c r="M77" s="6"/>
      <c r="N77" s="6"/>
    </row>
    <row r="78" spans="1:14" s="11" customFormat="1">
      <c r="A78" s="6"/>
      <c r="B78" s="254"/>
      <c r="C78" s="254"/>
      <c r="D78" s="6"/>
      <c r="E78" s="6"/>
      <c r="F78" s="6"/>
      <c r="G78" s="6"/>
      <c r="H78" s="6"/>
      <c r="I78" s="6"/>
      <c r="J78" s="6"/>
      <c r="K78" s="6"/>
      <c r="L78" s="6"/>
      <c r="M78" s="6"/>
      <c r="N78" s="6"/>
    </row>
    <row r="79" spans="1:14" s="56" customFormat="1" ht="22.15" customHeight="1">
      <c r="A79" s="334" t="s">
        <v>16</v>
      </c>
      <c r="B79" s="344"/>
      <c r="C79" s="334"/>
      <c r="D79" s="334"/>
      <c r="E79" s="334">
        <f t="shared" ref="E79:N79" si="40">SUM(E74:E78)</f>
        <v>537.34762886597923</v>
      </c>
      <c r="F79" s="334">
        <f t="shared" si="40"/>
        <v>697.39326714847493</v>
      </c>
      <c r="G79" s="334">
        <f t="shared" si="40"/>
        <v>1374.004867148476</v>
      </c>
      <c r="H79" s="334">
        <f t="shared" si="40"/>
        <v>833.12787833561424</v>
      </c>
      <c r="I79" s="334">
        <f t="shared" si="40"/>
        <v>2133.5804783356134</v>
      </c>
      <c r="J79" s="334">
        <f t="shared" si="40"/>
        <v>3088.7116783356119</v>
      </c>
      <c r="K79" s="334">
        <f t="shared" si="40"/>
        <v>4678.2762783356102</v>
      </c>
      <c r="L79" s="334">
        <f t="shared" si="40"/>
        <v>7045.9024783356099</v>
      </c>
      <c r="M79" s="334">
        <f t="shared" si="40"/>
        <v>10407.031078335609</v>
      </c>
      <c r="N79" s="334">
        <f t="shared" si="40"/>
        <v>15084.829778335607</v>
      </c>
    </row>
    <row r="80" spans="1:14" s="11" customFormat="1" ht="16.899999999999999" customHeight="1">
      <c r="A80" s="6" t="s">
        <v>177</v>
      </c>
      <c r="B80" s="39"/>
      <c r="C80" s="4"/>
      <c r="D80" s="9"/>
      <c r="E80" s="104">
        <f>④減価償却!E16/1000</f>
        <v>10335.571</v>
      </c>
      <c r="F80" s="104">
        <f>④減価償却!F16/1000</f>
        <v>9263.6419999999998</v>
      </c>
      <c r="G80" s="104">
        <f>④減価償却!G16/1000</f>
        <v>8191.7129999999997</v>
      </c>
      <c r="H80" s="104">
        <f>④減価償却!H16/1000</f>
        <v>7119.7839999999997</v>
      </c>
      <c r="I80" s="104">
        <f>④減価償却!I16/1000</f>
        <v>6047.8549999999996</v>
      </c>
      <c r="J80" s="104">
        <f>④減価償却!J16/1000</f>
        <v>5345.4260000000004</v>
      </c>
      <c r="K80" s="104">
        <f>④減価償却!K16/1000</f>
        <v>4762.9970000000003</v>
      </c>
      <c r="L80" s="104">
        <f>④減価償却!L16/1000</f>
        <v>4196</v>
      </c>
      <c r="M80" s="104">
        <f>④減価償却!M16/1000</f>
        <v>3683</v>
      </c>
      <c r="N80" s="104">
        <f>④減価償却!N16/1000</f>
        <v>3170</v>
      </c>
    </row>
    <row r="81" spans="1:14" s="11" customFormat="1">
      <c r="A81" s="6" t="s">
        <v>299</v>
      </c>
      <c r="B81" s="429" t="s">
        <v>300</v>
      </c>
      <c r="C81" s="424"/>
      <c r="D81" s="39"/>
      <c r="E81" s="6">
        <v>0</v>
      </c>
      <c r="F81" s="6">
        <f>+F61*-1</f>
        <v>0</v>
      </c>
      <c r="G81" s="6">
        <f t="shared" ref="G81:N81" si="41">+F81+G61*-1</f>
        <v>0</v>
      </c>
      <c r="H81" s="6">
        <f t="shared" si="41"/>
        <v>5000</v>
      </c>
      <c r="I81" s="6">
        <f t="shared" si="41"/>
        <v>5000</v>
      </c>
      <c r="J81" s="6">
        <f t="shared" si="41"/>
        <v>5000</v>
      </c>
      <c r="K81" s="6">
        <f t="shared" si="41"/>
        <v>5000</v>
      </c>
      <c r="L81" s="6">
        <f t="shared" si="41"/>
        <v>5000</v>
      </c>
      <c r="M81" s="6">
        <f t="shared" si="41"/>
        <v>5000</v>
      </c>
      <c r="N81" s="6">
        <f t="shared" si="41"/>
        <v>5000</v>
      </c>
    </row>
    <row r="82" spans="1:14" s="11" customFormat="1">
      <c r="A82" s="6"/>
      <c r="B82" s="427"/>
      <c r="C82" s="4"/>
      <c r="D82" s="4"/>
      <c r="E82" s="6"/>
      <c r="F82" s="6"/>
      <c r="G82" s="6"/>
      <c r="H82" s="6"/>
      <c r="I82" s="6"/>
      <c r="J82" s="6"/>
      <c r="K82" s="6"/>
      <c r="L82" s="6"/>
      <c r="M82" s="6"/>
      <c r="N82" s="6"/>
    </row>
    <row r="83" spans="1:14" s="11" customFormat="1">
      <c r="A83" s="6"/>
      <c r="B83" s="4"/>
      <c r="C83" s="4"/>
      <c r="D83" s="6"/>
      <c r="E83" s="6"/>
      <c r="F83" s="6"/>
      <c r="G83" s="6"/>
      <c r="H83" s="6"/>
      <c r="I83" s="6"/>
      <c r="J83" s="6"/>
      <c r="K83" s="6"/>
      <c r="L83" s="6"/>
      <c r="M83" s="6"/>
      <c r="N83" s="6"/>
    </row>
    <row r="84" spans="1:14" s="56" customFormat="1" ht="18.600000000000001" customHeight="1">
      <c r="A84" s="334" t="s">
        <v>17</v>
      </c>
      <c r="B84" s="342"/>
      <c r="C84" s="334"/>
      <c r="D84" s="334"/>
      <c r="E84" s="334">
        <f t="shared" ref="E84:N84" si="42">SUM(E80:E83)</f>
        <v>10335.571</v>
      </c>
      <c r="F84" s="334">
        <f t="shared" si="42"/>
        <v>9263.6419999999998</v>
      </c>
      <c r="G84" s="334">
        <f t="shared" si="42"/>
        <v>8191.7129999999997</v>
      </c>
      <c r="H84" s="334">
        <f t="shared" si="42"/>
        <v>12119.784</v>
      </c>
      <c r="I84" s="334">
        <f t="shared" si="42"/>
        <v>11047.855</v>
      </c>
      <c r="J84" s="334">
        <f t="shared" si="42"/>
        <v>10345.425999999999</v>
      </c>
      <c r="K84" s="334">
        <f t="shared" si="42"/>
        <v>9762.9969999999994</v>
      </c>
      <c r="L84" s="334">
        <f t="shared" si="42"/>
        <v>9196</v>
      </c>
      <c r="M84" s="334">
        <f t="shared" si="42"/>
        <v>8683</v>
      </c>
      <c r="N84" s="334">
        <f t="shared" si="42"/>
        <v>8170</v>
      </c>
    </row>
    <row r="85" spans="1:14" s="56" customFormat="1" ht="18.600000000000001" customHeight="1" thickBot="1">
      <c r="A85" s="73" t="s">
        <v>18</v>
      </c>
      <c r="B85" s="74"/>
      <c r="C85" s="74"/>
      <c r="D85" s="214"/>
      <c r="E85" s="73">
        <f t="shared" ref="E85:N85" si="43">+E79+E84</f>
        <v>10872.918628865978</v>
      </c>
      <c r="F85" s="73">
        <f t="shared" si="43"/>
        <v>9961.0352671484743</v>
      </c>
      <c r="G85" s="73">
        <f t="shared" si="43"/>
        <v>9565.7178671484762</v>
      </c>
      <c r="H85" s="73">
        <f t="shared" si="43"/>
        <v>12952.911878335613</v>
      </c>
      <c r="I85" s="73">
        <f t="shared" si="43"/>
        <v>13181.435478335614</v>
      </c>
      <c r="J85" s="73">
        <f t="shared" si="43"/>
        <v>13434.137678335612</v>
      </c>
      <c r="K85" s="73">
        <f t="shared" si="43"/>
        <v>14441.27327833561</v>
      </c>
      <c r="L85" s="73">
        <f t="shared" si="43"/>
        <v>16241.902478335611</v>
      </c>
      <c r="M85" s="73">
        <f t="shared" si="43"/>
        <v>19090.031078335611</v>
      </c>
      <c r="N85" s="73">
        <f t="shared" si="43"/>
        <v>23254.829778335607</v>
      </c>
    </row>
    <row r="86" spans="1:14" ht="15.6" customHeight="1" thickBot="1">
      <c r="A86" s="6" t="s">
        <v>19</v>
      </c>
      <c r="B86" s="458">
        <f>+⑦資金繰り表!C11</f>
        <v>2</v>
      </c>
      <c r="C86" s="467">
        <f>+⑦資金繰り表!B10</f>
        <v>0.9</v>
      </c>
      <c r="D86" s="9"/>
      <c r="E86" s="104">
        <f>+⑦資金繰り表!Q11</f>
        <v>1028.5920000000006</v>
      </c>
      <c r="F86" s="6">
        <f t="shared" ref="F86:N86" si="44">+F31/12*$C$86*$B$86</f>
        <v>1371.1104000000003</v>
      </c>
      <c r="G86" s="6">
        <f t="shared" si="44"/>
        <v>1713.8879999999999</v>
      </c>
      <c r="H86" s="6">
        <f t="shared" si="44"/>
        <v>1738.5984000000001</v>
      </c>
      <c r="I86" s="6">
        <f t="shared" si="44"/>
        <v>1836.6480000000001</v>
      </c>
      <c r="J86" s="6">
        <f t="shared" si="44"/>
        <v>1940.8752000000002</v>
      </c>
      <c r="K86" s="6">
        <f t="shared" si="44"/>
        <v>2054.3688000000002</v>
      </c>
      <c r="L86" s="6">
        <f t="shared" si="44"/>
        <v>2181.7619999999997</v>
      </c>
      <c r="M86" s="6">
        <f t="shared" si="44"/>
        <v>2330.0045999999998</v>
      </c>
      <c r="N86" s="6">
        <f t="shared" si="44"/>
        <v>2509.5212999999999</v>
      </c>
    </row>
    <row r="87" spans="1:14" ht="15.6" customHeight="1">
      <c r="A87" s="6" t="s">
        <v>315</v>
      </c>
      <c r="B87" s="507" t="s">
        <v>316</v>
      </c>
      <c r="C87" s="464"/>
      <c r="D87" s="465"/>
      <c r="E87" s="6">
        <f>+E68</f>
        <v>1274.3076288659797</v>
      </c>
      <c r="F87" s="6">
        <f>E87+F68</f>
        <v>1471.1498671484781</v>
      </c>
      <c r="G87" s="6">
        <f t="shared" ref="G87:N87" si="45">F87+G68</f>
        <v>1471.1498671484781</v>
      </c>
      <c r="H87" s="6">
        <f t="shared" si="45"/>
        <v>5288.8844783356162</v>
      </c>
      <c r="I87" s="6">
        <f t="shared" si="45"/>
        <v>5288.8844783356162</v>
      </c>
      <c r="J87" s="6">
        <f t="shared" si="45"/>
        <v>5288.8844783356162</v>
      </c>
      <c r="K87" s="6">
        <f t="shared" si="45"/>
        <v>5288.8844783356162</v>
      </c>
      <c r="L87" s="6">
        <f t="shared" si="45"/>
        <v>5288.8844783356162</v>
      </c>
      <c r="M87" s="6">
        <f t="shared" si="45"/>
        <v>5288.8844783356162</v>
      </c>
      <c r="N87" s="6">
        <f t="shared" si="45"/>
        <v>5288.8844783356162</v>
      </c>
    </row>
    <row r="88" spans="1:14" s="11" customFormat="1">
      <c r="A88" s="14"/>
      <c r="B88" s="210"/>
      <c r="C88" s="4"/>
      <c r="D88" s="6"/>
      <c r="E88" s="6"/>
      <c r="F88" s="6"/>
      <c r="G88" s="6"/>
      <c r="H88" s="6"/>
      <c r="I88" s="6"/>
      <c r="J88" s="6"/>
      <c r="K88" s="6"/>
      <c r="L88" s="6"/>
      <c r="M88" s="6"/>
      <c r="N88" s="6"/>
    </row>
    <row r="89" spans="1:14" s="11" customFormat="1">
      <c r="A89" s="426"/>
      <c r="B89" s="210"/>
      <c r="C89" s="4"/>
      <c r="D89" s="6"/>
      <c r="E89" s="6"/>
      <c r="F89" s="6"/>
      <c r="G89" s="6"/>
      <c r="H89" s="6"/>
      <c r="I89" s="6"/>
      <c r="J89" s="6"/>
      <c r="K89" s="6"/>
      <c r="L89" s="6"/>
      <c r="M89" s="6"/>
      <c r="N89" s="6"/>
    </row>
    <row r="90" spans="1:14" s="56" customFormat="1" ht="16.149999999999999" customHeight="1">
      <c r="A90" s="334" t="s">
        <v>21</v>
      </c>
      <c r="B90" s="342"/>
      <c r="C90" s="334"/>
      <c r="D90" s="334"/>
      <c r="E90" s="334">
        <f t="shared" ref="E90:N90" si="46">SUM(E86:E89)</f>
        <v>2302.89962886598</v>
      </c>
      <c r="F90" s="334">
        <f t="shared" si="46"/>
        <v>2842.2602671484783</v>
      </c>
      <c r="G90" s="334">
        <f t="shared" si="46"/>
        <v>3185.0378671484777</v>
      </c>
      <c r="H90" s="334">
        <f t="shared" si="46"/>
        <v>7027.4828783356161</v>
      </c>
      <c r="I90" s="334">
        <f t="shared" si="46"/>
        <v>7125.5324783356164</v>
      </c>
      <c r="J90" s="334">
        <f t="shared" si="46"/>
        <v>7229.7596783356166</v>
      </c>
      <c r="K90" s="334">
        <f t="shared" si="46"/>
        <v>7343.2532783356164</v>
      </c>
      <c r="L90" s="334">
        <f t="shared" si="46"/>
        <v>7470.6464783356159</v>
      </c>
      <c r="M90" s="334">
        <f t="shared" si="46"/>
        <v>7618.8890783356164</v>
      </c>
      <c r="N90" s="334">
        <f t="shared" si="46"/>
        <v>7798.4057783356166</v>
      </c>
    </row>
    <row r="91" spans="1:14" ht="16.149999999999999" customHeight="1">
      <c r="A91" s="42" t="s">
        <v>314</v>
      </c>
      <c r="B91" s="429" t="s">
        <v>356</v>
      </c>
      <c r="C91" s="4"/>
      <c r="D91" s="220"/>
      <c r="E91" s="35">
        <f>+⑤借入金!AM7/1000</f>
        <v>8912.3739999999998</v>
      </c>
      <c r="F91" s="35">
        <f>+⑤借入金!AN7/1000</f>
        <v>7922.1220000000003</v>
      </c>
      <c r="G91" s="35">
        <f>+⑤借入金!AO7/1000</f>
        <v>6931.87</v>
      </c>
      <c r="H91" s="35">
        <f>+⑤借入金!AP7/1000</f>
        <v>5941.6180000000004</v>
      </c>
      <c r="I91" s="35">
        <f>+⑤借入金!AQ7/1000</f>
        <v>4951.366</v>
      </c>
      <c r="J91" s="35">
        <f>+⑤借入金!AR7/1000</f>
        <v>3961.114</v>
      </c>
      <c r="K91" s="35">
        <f>+⑤借入金!AS7/1000</f>
        <v>2970.8620000000001</v>
      </c>
      <c r="L91" s="35">
        <f>+⑤借入金!AT7/1000</f>
        <v>1980.61</v>
      </c>
      <c r="M91" s="35">
        <f>+⑤借入金!AU7/1000</f>
        <v>990.35799999999995</v>
      </c>
      <c r="N91" s="35">
        <f>+⑤借入金!AV7/1000</f>
        <v>0.106</v>
      </c>
    </row>
    <row r="92" spans="1:14" s="11" customFormat="1">
      <c r="A92" s="425"/>
      <c r="B92" s="10"/>
      <c r="C92" s="10"/>
      <c r="D92" s="425"/>
      <c r="E92" s="425"/>
      <c r="F92" s="425"/>
      <c r="G92" s="425"/>
      <c r="H92" s="425"/>
      <c r="I92" s="425"/>
      <c r="J92" s="425"/>
      <c r="K92" s="425"/>
      <c r="L92" s="425"/>
      <c r="M92" s="425"/>
      <c r="N92" s="425"/>
    </row>
    <row r="93" spans="1:14" s="11" customFormat="1">
      <c r="A93" s="425"/>
      <c r="B93" s="10"/>
      <c r="C93" s="10"/>
      <c r="D93" s="425"/>
      <c r="E93" s="425"/>
      <c r="F93" s="425"/>
      <c r="G93" s="425"/>
      <c r="H93" s="425"/>
      <c r="I93" s="425"/>
      <c r="J93" s="425"/>
      <c r="K93" s="425"/>
      <c r="L93" s="425"/>
      <c r="M93" s="425"/>
      <c r="N93" s="425"/>
    </row>
    <row r="94" spans="1:14" s="72" customFormat="1" ht="24" customHeight="1">
      <c r="A94" s="334" t="s">
        <v>22</v>
      </c>
      <c r="B94" s="342"/>
      <c r="C94" s="334"/>
      <c r="D94" s="334"/>
      <c r="E94" s="334">
        <f t="shared" ref="E94:N94" si="47">SUM(E91:E93)</f>
        <v>8912.3739999999998</v>
      </c>
      <c r="F94" s="334">
        <f t="shared" si="47"/>
        <v>7922.1220000000003</v>
      </c>
      <c r="G94" s="334">
        <f t="shared" si="47"/>
        <v>6931.87</v>
      </c>
      <c r="H94" s="334">
        <f t="shared" si="47"/>
        <v>5941.6180000000004</v>
      </c>
      <c r="I94" s="334">
        <f t="shared" si="47"/>
        <v>4951.366</v>
      </c>
      <c r="J94" s="334">
        <f t="shared" si="47"/>
        <v>3961.114</v>
      </c>
      <c r="K94" s="334">
        <f t="shared" si="47"/>
        <v>2970.8620000000001</v>
      </c>
      <c r="L94" s="334">
        <f t="shared" si="47"/>
        <v>1980.61</v>
      </c>
      <c r="M94" s="334">
        <f t="shared" si="47"/>
        <v>990.35799999999995</v>
      </c>
      <c r="N94" s="334">
        <f t="shared" si="47"/>
        <v>0.106</v>
      </c>
    </row>
    <row r="95" spans="1:14" s="56" customFormat="1" ht="19.149999999999999" customHeight="1">
      <c r="A95" s="73" t="s">
        <v>23</v>
      </c>
      <c r="B95" s="74"/>
      <c r="C95" s="74"/>
      <c r="D95" s="214"/>
      <c r="E95" s="73">
        <f t="shared" ref="E95:N95" si="48">+E90+E94</f>
        <v>11215.27362886598</v>
      </c>
      <c r="F95" s="73">
        <f t="shared" si="48"/>
        <v>10764.382267148478</v>
      </c>
      <c r="G95" s="73">
        <f t="shared" si="48"/>
        <v>10116.907867148479</v>
      </c>
      <c r="H95" s="73">
        <f t="shared" si="48"/>
        <v>12969.100878335616</v>
      </c>
      <c r="I95" s="73">
        <f t="shared" si="48"/>
        <v>12076.898478335617</v>
      </c>
      <c r="J95" s="73">
        <f t="shared" si="48"/>
        <v>11190.873678335616</v>
      </c>
      <c r="K95" s="73">
        <f t="shared" si="48"/>
        <v>10314.115278335616</v>
      </c>
      <c r="L95" s="73">
        <f t="shared" si="48"/>
        <v>9451.2564783356156</v>
      </c>
      <c r="M95" s="73">
        <f t="shared" si="48"/>
        <v>8609.2470783356166</v>
      </c>
      <c r="N95" s="73">
        <f t="shared" si="48"/>
        <v>7798.5117783356163</v>
      </c>
    </row>
    <row r="96" spans="1:14" s="11" customFormat="1">
      <c r="A96" s="6"/>
      <c r="B96" s="4"/>
      <c r="C96" s="4"/>
      <c r="D96" s="9"/>
      <c r="E96" s="6"/>
      <c r="F96" s="6"/>
      <c r="G96" s="6"/>
      <c r="H96" s="6"/>
      <c r="I96" s="6"/>
      <c r="J96" s="6"/>
      <c r="K96" s="6"/>
      <c r="L96" s="6"/>
      <c r="M96" s="6"/>
      <c r="N96" s="6"/>
    </row>
    <row r="97" spans="1:15" ht="18" customHeight="1">
      <c r="A97" s="6" t="s">
        <v>298</v>
      </c>
      <c r="B97" s="250"/>
      <c r="C97" s="4"/>
      <c r="D97" s="9"/>
      <c r="E97" s="104">
        <f>+評価・判断!E8</f>
        <v>2000</v>
      </c>
      <c r="F97" s="6">
        <f>+E101</f>
        <v>-342.42600000000084</v>
      </c>
      <c r="G97" s="6">
        <f t="shared" ref="G97:N97" si="49">+F101</f>
        <v>-803.48900000000322</v>
      </c>
      <c r="H97" s="6">
        <f t="shared" si="49"/>
        <v>-551.40300000000195</v>
      </c>
      <c r="I97" s="6">
        <f t="shared" si="49"/>
        <v>-16.473000000001662</v>
      </c>
      <c r="J97" s="6">
        <f t="shared" si="49"/>
        <v>1104.1819999999971</v>
      </c>
      <c r="K97" s="6">
        <f t="shared" si="49"/>
        <v>2243.3379999999956</v>
      </c>
      <c r="L97" s="6">
        <f t="shared" si="49"/>
        <v>4127.6609999999946</v>
      </c>
      <c r="M97" s="6">
        <f t="shared" si="49"/>
        <v>6791.1459999999952</v>
      </c>
      <c r="N97" s="6">
        <f t="shared" si="49"/>
        <v>10481.283999999996</v>
      </c>
    </row>
    <row r="98" spans="1:15">
      <c r="A98" s="1" t="s">
        <v>313</v>
      </c>
      <c r="B98" s="255" t="s">
        <v>348</v>
      </c>
      <c r="C98" s="4"/>
      <c r="D98" s="9"/>
      <c r="E98" s="6">
        <f t="shared" ref="E98:N98" si="50">+E62+E63</f>
        <v>0</v>
      </c>
      <c r="F98" s="6">
        <f t="shared" si="50"/>
        <v>0</v>
      </c>
      <c r="G98" s="6">
        <f t="shared" si="50"/>
        <v>0</v>
      </c>
      <c r="H98" s="6">
        <f t="shared" si="50"/>
        <v>0</v>
      </c>
      <c r="I98" s="6">
        <f t="shared" si="50"/>
        <v>0</v>
      </c>
      <c r="J98" s="6">
        <f t="shared" si="50"/>
        <v>0</v>
      </c>
      <c r="K98" s="6">
        <f t="shared" si="50"/>
        <v>0</v>
      </c>
      <c r="L98" s="6">
        <f t="shared" si="50"/>
        <v>0</v>
      </c>
      <c r="M98" s="6">
        <f t="shared" si="50"/>
        <v>0</v>
      </c>
      <c r="N98" s="6">
        <f t="shared" si="50"/>
        <v>0</v>
      </c>
    </row>
    <row r="99" spans="1:15">
      <c r="A99" s="6" t="s">
        <v>169</v>
      </c>
      <c r="B99" s="4"/>
      <c r="C99" s="4"/>
      <c r="D99" s="9"/>
      <c r="E99" s="6">
        <f t="shared" ref="E99:N99" si="51">+E52</f>
        <v>-2342.4260000000008</v>
      </c>
      <c r="F99" s="6">
        <f t="shared" si="51"/>
        <v>-461.06300000000243</v>
      </c>
      <c r="G99" s="6">
        <f t="shared" si="51"/>
        <v>252.08600000000126</v>
      </c>
      <c r="H99" s="6">
        <f t="shared" si="51"/>
        <v>534.93000000000029</v>
      </c>
      <c r="I99" s="6">
        <f t="shared" si="51"/>
        <v>1120.6549999999986</v>
      </c>
      <c r="J99" s="6">
        <f t="shared" si="51"/>
        <v>1139.1559999999986</v>
      </c>
      <c r="K99" s="6">
        <f t="shared" si="51"/>
        <v>1884.322999999999</v>
      </c>
      <c r="L99" s="6">
        <f t="shared" si="51"/>
        <v>2663.4850000000006</v>
      </c>
      <c r="M99" s="6">
        <f t="shared" si="51"/>
        <v>3690.1380000000008</v>
      </c>
      <c r="N99" s="6">
        <f t="shared" si="51"/>
        <v>4975.5339999999978</v>
      </c>
    </row>
    <row r="100" spans="1:15">
      <c r="A100" s="6" t="s">
        <v>168</v>
      </c>
      <c r="B100" s="4"/>
      <c r="C100" s="4"/>
      <c r="D100" s="9"/>
      <c r="E100" s="6"/>
      <c r="F100" s="6"/>
      <c r="G100" s="6"/>
      <c r="H100" s="6"/>
      <c r="I100" s="6"/>
      <c r="J100" s="6"/>
      <c r="K100" s="6"/>
      <c r="L100" s="6"/>
      <c r="M100" s="6"/>
      <c r="N100" s="6"/>
    </row>
    <row r="101" spans="1:15" s="56" customFormat="1" ht="16.899999999999999" customHeight="1">
      <c r="A101" s="334" t="s">
        <v>24</v>
      </c>
      <c r="B101" s="342" t="s">
        <v>25</v>
      </c>
      <c r="C101" s="334"/>
      <c r="D101" s="334"/>
      <c r="E101" s="334">
        <f>SUM(E97:E100)</f>
        <v>-342.42600000000084</v>
      </c>
      <c r="F101" s="334">
        <f t="shared" ref="F101:N101" si="52">SUM(F97:F100)</f>
        <v>-803.48900000000322</v>
      </c>
      <c r="G101" s="334">
        <f t="shared" si="52"/>
        <v>-551.40300000000195</v>
      </c>
      <c r="H101" s="334">
        <f t="shared" si="52"/>
        <v>-16.473000000001662</v>
      </c>
      <c r="I101" s="334">
        <f t="shared" si="52"/>
        <v>1104.1819999999971</v>
      </c>
      <c r="J101" s="334">
        <f t="shared" si="52"/>
        <v>2243.3379999999956</v>
      </c>
      <c r="K101" s="334">
        <f t="shared" si="52"/>
        <v>4127.6609999999946</v>
      </c>
      <c r="L101" s="334">
        <f t="shared" si="52"/>
        <v>6791.1459999999952</v>
      </c>
      <c r="M101" s="334">
        <f t="shared" si="52"/>
        <v>10481.283999999996</v>
      </c>
      <c r="N101" s="334">
        <f t="shared" si="52"/>
        <v>15456.817999999994</v>
      </c>
    </row>
    <row r="102" spans="1:15" s="56" customFormat="1" ht="17.45" customHeight="1">
      <c r="A102" s="73" t="s">
        <v>26</v>
      </c>
      <c r="B102" s="74"/>
      <c r="C102" s="74"/>
      <c r="D102" s="214"/>
      <c r="E102" s="73">
        <f t="shared" ref="E102:N102" si="53">E95+E101</f>
        <v>10872.847628865979</v>
      </c>
      <c r="F102" s="73">
        <f t="shared" si="53"/>
        <v>9960.8932671484745</v>
      </c>
      <c r="G102" s="73">
        <f t="shared" si="53"/>
        <v>9565.5048671484765</v>
      </c>
      <c r="H102" s="73">
        <f t="shared" si="53"/>
        <v>12952.627878335614</v>
      </c>
      <c r="I102" s="73">
        <f t="shared" si="53"/>
        <v>13181.080478335614</v>
      </c>
      <c r="J102" s="73">
        <f t="shared" si="53"/>
        <v>13434.211678335612</v>
      </c>
      <c r="K102" s="73">
        <f t="shared" si="53"/>
        <v>14441.77627833561</v>
      </c>
      <c r="L102" s="73">
        <f t="shared" si="53"/>
        <v>16242.402478335611</v>
      </c>
      <c r="M102" s="73">
        <f t="shared" si="53"/>
        <v>19090.531078335611</v>
      </c>
      <c r="N102" s="73">
        <f t="shared" si="53"/>
        <v>23255.32977833561</v>
      </c>
    </row>
    <row r="103" spans="1:15" s="11" customFormat="1">
      <c r="A103" s="16"/>
      <c r="B103" s="4" t="s">
        <v>27</v>
      </c>
      <c r="C103" s="4"/>
      <c r="D103" s="9"/>
      <c r="E103" s="6">
        <f t="shared" ref="E103:N103" si="54">+E85-E102</f>
        <v>7.0999999999912689E-2</v>
      </c>
      <c r="F103" s="6">
        <f t="shared" si="54"/>
        <v>0.14199999999982538</v>
      </c>
      <c r="G103" s="6">
        <f t="shared" si="54"/>
        <v>0.21299999999973807</v>
      </c>
      <c r="H103" s="6">
        <f t="shared" si="54"/>
        <v>0.28399999999965075</v>
      </c>
      <c r="I103" s="6">
        <f t="shared" si="54"/>
        <v>0.35499999999956344</v>
      </c>
      <c r="J103" s="6">
        <f t="shared" si="54"/>
        <v>-7.4000000000523869E-2</v>
      </c>
      <c r="K103" s="6">
        <f t="shared" si="54"/>
        <v>-0.50300000000061118</v>
      </c>
      <c r="L103" s="6">
        <f t="shared" si="54"/>
        <v>-0.5</v>
      </c>
      <c r="M103" s="6">
        <f t="shared" si="54"/>
        <v>-0.5</v>
      </c>
      <c r="N103" s="6">
        <f t="shared" si="54"/>
        <v>-0.50000000000363798</v>
      </c>
      <c r="O103" s="56"/>
    </row>
    <row r="104" spans="1:15" s="24" customFormat="1" ht="24">
      <c r="A104" s="21"/>
      <c r="B104" s="22" t="s">
        <v>178</v>
      </c>
      <c r="C104" s="3"/>
      <c r="D104" s="221"/>
      <c r="E104" s="23" t="str">
        <f t="shared" ref="E104:N104" si="55">IF(E52&lt;0,"不可",E94/E55)</f>
        <v>不可</v>
      </c>
      <c r="F104" s="23" t="str">
        <f t="shared" si="55"/>
        <v>不可</v>
      </c>
      <c r="G104" s="23">
        <f t="shared" si="55"/>
        <v>5.2352113080268152</v>
      </c>
      <c r="H104" s="23">
        <f t="shared" si="55"/>
        <v>3.4505572235805166</v>
      </c>
      <c r="I104" s="23">
        <f t="shared" si="55"/>
        <v>2.2581600844638134</v>
      </c>
      <c r="J104" s="23">
        <f t="shared" si="55"/>
        <v>2.1514276899947657</v>
      </c>
      <c r="K104" s="23">
        <f t="shared" si="55"/>
        <v>1.2045713396015045</v>
      </c>
      <c r="L104" s="23">
        <f t="shared" si="55"/>
        <v>0.61309989057370629</v>
      </c>
      <c r="M104" s="23">
        <f t="shared" si="55"/>
        <v>0.23562347940990749</v>
      </c>
      <c r="N104" s="286">
        <f t="shared" si="55"/>
        <v>1.9312989588841035E-5</v>
      </c>
      <c r="O104" s="56"/>
    </row>
    <row r="105" spans="1:15">
      <c r="A105" s="25"/>
      <c r="B105" s="26" t="s">
        <v>28</v>
      </c>
      <c r="C105" s="27"/>
      <c r="D105" s="222"/>
      <c r="E105" s="28">
        <f>E91+E87</f>
        <v>10186.681628865979</v>
      </c>
      <c r="F105" s="28">
        <f t="shared" ref="F105:N105" si="56">F91+F87</f>
        <v>9393.2718671484781</v>
      </c>
      <c r="G105" s="28">
        <f t="shared" si="56"/>
        <v>8403.0198671484777</v>
      </c>
      <c r="H105" s="28">
        <f t="shared" si="56"/>
        <v>11230.502478335617</v>
      </c>
      <c r="I105" s="28">
        <f t="shared" si="56"/>
        <v>10240.250478335616</v>
      </c>
      <c r="J105" s="28">
        <f t="shared" si="56"/>
        <v>9249.9984783356158</v>
      </c>
      <c r="K105" s="28">
        <f t="shared" si="56"/>
        <v>8259.7464783356154</v>
      </c>
      <c r="L105" s="28">
        <f t="shared" si="56"/>
        <v>7269.4944783356159</v>
      </c>
      <c r="M105" s="28">
        <f t="shared" si="56"/>
        <v>6279.2424783356164</v>
      </c>
      <c r="N105" s="28">
        <f t="shared" si="56"/>
        <v>5288.990478335616</v>
      </c>
      <c r="O105" s="56"/>
    </row>
    <row r="106" spans="1:15">
      <c r="A106" s="25"/>
      <c r="B106" s="28" t="s">
        <v>170</v>
      </c>
      <c r="C106" s="27"/>
      <c r="D106" s="223"/>
      <c r="E106" s="28">
        <f t="shared" ref="E106:N106" si="57">+E62</f>
        <v>0</v>
      </c>
      <c r="F106" s="28">
        <f t="shared" si="57"/>
        <v>0</v>
      </c>
      <c r="G106" s="28">
        <f t="shared" si="57"/>
        <v>0</v>
      </c>
      <c r="H106" s="28">
        <f t="shared" si="57"/>
        <v>0</v>
      </c>
      <c r="I106" s="28">
        <f t="shared" si="57"/>
        <v>0</v>
      </c>
      <c r="J106" s="28">
        <f t="shared" si="57"/>
        <v>0</v>
      </c>
      <c r="K106" s="28">
        <f t="shared" si="57"/>
        <v>0</v>
      </c>
      <c r="L106" s="28">
        <f t="shared" si="57"/>
        <v>0</v>
      </c>
      <c r="M106" s="28">
        <f t="shared" si="57"/>
        <v>0</v>
      </c>
      <c r="N106" s="28">
        <f t="shared" si="57"/>
        <v>0</v>
      </c>
      <c r="O106" s="56"/>
    </row>
    <row r="107" spans="1:15">
      <c r="A107" s="25"/>
      <c r="B107" s="28" t="s">
        <v>29</v>
      </c>
      <c r="C107" s="28"/>
      <c r="D107" s="223"/>
      <c r="E107" s="28">
        <f t="shared" ref="E107:N107" si="58">+E56</f>
        <v>-495.12599999999998</v>
      </c>
      <c r="F107" s="28">
        <f t="shared" si="58"/>
        <v>-990.25199999999995</v>
      </c>
      <c r="G107" s="28">
        <f t="shared" si="58"/>
        <v>-990.25199999999995</v>
      </c>
      <c r="H107" s="28">
        <f t="shared" si="58"/>
        <v>-990.25199999999995</v>
      </c>
      <c r="I107" s="28">
        <f t="shared" si="58"/>
        <v>-990.25199999999995</v>
      </c>
      <c r="J107" s="28">
        <f t="shared" si="58"/>
        <v>-990.25199999999995</v>
      </c>
      <c r="K107" s="28">
        <f t="shared" si="58"/>
        <v>-990.25199999999995</v>
      </c>
      <c r="L107" s="28">
        <f t="shared" si="58"/>
        <v>-990.25199999999995</v>
      </c>
      <c r="M107" s="28">
        <f t="shared" si="58"/>
        <v>-990.25199999999995</v>
      </c>
      <c r="N107" s="28">
        <f t="shared" si="58"/>
        <v>-990.25199999999995</v>
      </c>
    </row>
    <row r="108" spans="1:15">
      <c r="A108" s="25"/>
      <c r="B108" s="257"/>
      <c r="C108" s="258" t="s">
        <v>179</v>
      </c>
      <c r="D108" s="224"/>
      <c r="E108" s="46">
        <f t="shared" ref="E108:N108" si="59">+E3</f>
        <v>1</v>
      </c>
      <c r="F108" s="46">
        <f t="shared" si="59"/>
        <v>2</v>
      </c>
      <c r="G108" s="46">
        <f t="shared" si="59"/>
        <v>3</v>
      </c>
      <c r="H108" s="46">
        <f t="shared" si="59"/>
        <v>4</v>
      </c>
      <c r="I108" s="46">
        <f t="shared" si="59"/>
        <v>5</v>
      </c>
      <c r="J108" s="46">
        <f t="shared" si="59"/>
        <v>6</v>
      </c>
      <c r="K108" s="46">
        <f t="shared" si="59"/>
        <v>7</v>
      </c>
      <c r="L108" s="46">
        <f t="shared" si="59"/>
        <v>8</v>
      </c>
      <c r="M108" s="46">
        <f t="shared" si="59"/>
        <v>9</v>
      </c>
      <c r="N108" s="46">
        <f t="shared" si="59"/>
        <v>10</v>
      </c>
    </row>
    <row r="109" spans="1:15">
      <c r="A109" s="25"/>
      <c r="G109" s="1">
        <f>+G103-F103</f>
        <v>7.0999999999912689E-2</v>
      </c>
      <c r="H109" s="1">
        <f t="shared" ref="H109:N109" si="60">+H103-G103</f>
        <v>7.0999999999912689E-2</v>
      </c>
      <c r="I109" s="1">
        <f t="shared" si="60"/>
        <v>7.0999999999912689E-2</v>
      </c>
      <c r="J109" s="1">
        <f t="shared" si="60"/>
        <v>-0.42900000000008731</v>
      </c>
      <c r="K109" s="1">
        <f t="shared" si="60"/>
        <v>-0.42900000000008731</v>
      </c>
      <c r="L109" s="1">
        <f t="shared" si="60"/>
        <v>3.0000000006111804E-3</v>
      </c>
      <c r="M109" s="1">
        <f t="shared" si="60"/>
        <v>0</v>
      </c>
      <c r="N109" s="1">
        <f t="shared" si="60"/>
        <v>-3.637978807091713E-12</v>
      </c>
    </row>
    <row r="110" spans="1:15">
      <c r="A110" s="25"/>
      <c r="L110" s="25"/>
      <c r="M110" s="25"/>
      <c r="N110" s="67"/>
    </row>
    <row r="111" spans="1:15">
      <c r="A111" s="25"/>
      <c r="L111" s="68"/>
      <c r="M111" s="25"/>
      <c r="N111" s="25"/>
    </row>
    <row r="112" spans="1:15">
      <c r="L112" s="29"/>
      <c r="M112" s="25"/>
      <c r="N112" s="25"/>
    </row>
    <row r="113" spans="12:14">
      <c r="L113" s="29"/>
      <c r="M113" s="25"/>
      <c r="N113" s="25"/>
    </row>
    <row r="114" spans="12:14">
      <c r="L114" s="29"/>
      <c r="M114" s="25"/>
      <c r="N114" s="25"/>
    </row>
    <row r="115" spans="12:14">
      <c r="L115" s="29"/>
      <c r="M115" s="25"/>
      <c r="N115" s="25"/>
    </row>
    <row r="116" spans="12:14">
      <c r="L116" s="29"/>
      <c r="M116" s="25"/>
      <c r="N116" s="25"/>
    </row>
    <row r="117" spans="12:14">
      <c r="L117" s="25"/>
      <c r="M117" s="25"/>
      <c r="N117" s="25"/>
    </row>
    <row r="118" spans="12:14">
      <c r="L118" s="69"/>
      <c r="M118" s="70"/>
      <c r="N118" s="70"/>
    </row>
    <row r="119" spans="12:14">
      <c r="L119" s="69"/>
      <c r="M119" s="29"/>
      <c r="N119" s="25"/>
    </row>
    <row r="120" spans="12:14">
      <c r="L120" s="69"/>
      <c r="M120" s="25"/>
      <c r="N120" s="25"/>
    </row>
    <row r="121" spans="12:14">
      <c r="L121" s="25"/>
      <c r="M121" s="25"/>
      <c r="N121" s="25"/>
    </row>
    <row r="122" spans="12:14">
      <c r="L122" s="25"/>
      <c r="M122" s="25"/>
      <c r="N122" s="25"/>
    </row>
    <row r="133" spans="4:9">
      <c r="I133" s="29"/>
    </row>
    <row r="134" spans="4:9">
      <c r="F134" s="29"/>
      <c r="I134" s="29"/>
    </row>
    <row r="135" spans="4:9">
      <c r="F135" s="29"/>
      <c r="I135" s="29"/>
    </row>
    <row r="136" spans="4:9">
      <c r="F136" s="29"/>
      <c r="I136" s="29"/>
    </row>
    <row r="137" spans="4:9">
      <c r="D137" s="225"/>
      <c r="E137" s="29"/>
      <c r="F137" s="29"/>
    </row>
  </sheetData>
  <phoneticPr fontId="3"/>
  <printOptions headings="1"/>
  <pageMargins left="0.43307086614173229" right="0.43307086614173229" top="0.55118110236220474" bottom="0.35433070866141736" header="0.31496062992125984" footer="0.31496062992125984"/>
  <pageSetup paperSize="8" scale="61"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R361"/>
  <sheetViews>
    <sheetView topLeftCell="A25" zoomScale="99" zoomScaleNormal="99" workbookViewId="0">
      <pane xSplit="1" topLeftCell="B1" activePane="topRight" state="frozen"/>
      <selection pane="topRight" activeCell="J48" sqref="J48"/>
    </sheetView>
  </sheetViews>
  <sheetFormatPr defaultRowHeight="13.5"/>
  <cols>
    <col min="1" max="1" width="13.3984375" style="136" customWidth="1"/>
    <col min="2" max="2" width="4.69921875" style="136" customWidth="1"/>
    <col min="3" max="3" width="14.59765625" style="136" customWidth="1"/>
    <col min="4" max="10" width="7.59765625" style="136" customWidth="1"/>
    <col min="11" max="11" width="7.69921875" style="136" customWidth="1"/>
    <col min="12" max="15" width="7.59765625" style="136" customWidth="1"/>
    <col min="16" max="16" width="5.8984375" style="137" customWidth="1"/>
    <col min="17" max="17" width="6.09765625" style="136" customWidth="1"/>
    <col min="18" max="226" width="9.19921875" style="136"/>
    <col min="227" max="227" width="13.3984375" style="136" customWidth="1"/>
    <col min="228" max="228" width="9.19921875" style="136"/>
    <col min="229" max="229" width="9.69921875" style="136" customWidth="1"/>
    <col min="230" max="230" width="11.3984375" style="136" bestFit="1" customWidth="1"/>
    <col min="231" max="241" width="9.19921875" style="136"/>
    <col min="242" max="242" width="7.59765625" style="136" bestFit="1" customWidth="1"/>
    <col min="243" max="245" width="9.19921875" style="136"/>
    <col min="246" max="246" width="9.19921875" style="136" customWidth="1"/>
    <col min="247" max="247" width="9.19921875" style="136"/>
    <col min="248" max="248" width="8.3984375" style="136" customWidth="1"/>
    <col min="249" max="249" width="9.19921875" style="136"/>
    <col min="250" max="257" width="7.8984375" style="136" bestFit="1" customWidth="1"/>
    <col min="258" max="260" width="8.69921875" style="136" bestFit="1" customWidth="1"/>
    <col min="261" max="482" width="9.19921875" style="136"/>
    <col min="483" max="483" width="13.3984375" style="136" customWidth="1"/>
    <col min="484" max="484" width="9.19921875" style="136"/>
    <col min="485" max="485" width="9.69921875" style="136" customWidth="1"/>
    <col min="486" max="486" width="11.3984375" style="136" bestFit="1" customWidth="1"/>
    <col min="487" max="497" width="9.19921875" style="136"/>
    <col min="498" max="498" width="7.59765625" style="136" bestFit="1" customWidth="1"/>
    <col min="499" max="501" width="9.19921875" style="136"/>
    <col min="502" max="502" width="9.19921875" style="136" customWidth="1"/>
    <col min="503" max="503" width="9.19921875" style="136"/>
    <col min="504" max="504" width="8.3984375" style="136" customWidth="1"/>
    <col min="505" max="505" width="9.19921875" style="136"/>
    <col min="506" max="513" width="7.8984375" style="136" bestFit="1" customWidth="1"/>
    <col min="514" max="516" width="8.69921875" style="136" bestFit="1" customWidth="1"/>
    <col min="517" max="738" width="9.19921875" style="136"/>
    <col min="739" max="739" width="13.3984375" style="136" customWidth="1"/>
    <col min="740" max="740" width="9.19921875" style="136"/>
    <col min="741" max="741" width="9.69921875" style="136" customWidth="1"/>
    <col min="742" max="742" width="11.3984375" style="136" bestFit="1" customWidth="1"/>
    <col min="743" max="753" width="9.19921875" style="136"/>
    <col min="754" max="754" width="7.59765625" style="136" bestFit="1" customWidth="1"/>
    <col min="755" max="757" width="9.19921875" style="136"/>
    <col min="758" max="758" width="9.19921875" style="136" customWidth="1"/>
    <col min="759" max="759" width="9.19921875" style="136"/>
    <col min="760" max="760" width="8.3984375" style="136" customWidth="1"/>
    <col min="761" max="761" width="9.19921875" style="136"/>
    <col min="762" max="769" width="7.8984375" style="136" bestFit="1" customWidth="1"/>
    <col min="770" max="772" width="8.69921875" style="136" bestFit="1" customWidth="1"/>
    <col min="773" max="994" width="9.19921875" style="136"/>
    <col min="995" max="995" width="13.3984375" style="136" customWidth="1"/>
    <col min="996" max="996" width="9.19921875" style="136"/>
    <col min="997" max="997" width="9.69921875" style="136" customWidth="1"/>
    <col min="998" max="998" width="11.3984375" style="136" bestFit="1" customWidth="1"/>
    <col min="999" max="1009" width="9.19921875" style="136"/>
    <col min="1010" max="1010" width="7.59765625" style="136" bestFit="1" customWidth="1"/>
    <col min="1011" max="1013" width="9.19921875" style="136"/>
    <col min="1014" max="1014" width="9.19921875" style="136" customWidth="1"/>
    <col min="1015" max="1015" width="9.19921875" style="136"/>
    <col min="1016" max="1016" width="8.3984375" style="136" customWidth="1"/>
    <col min="1017" max="1017" width="9.19921875" style="136"/>
    <col min="1018" max="1025" width="7.8984375" style="136" bestFit="1" customWidth="1"/>
    <col min="1026" max="1028" width="8.69921875" style="136" bestFit="1" customWidth="1"/>
    <col min="1029" max="1250" width="9.19921875" style="136"/>
    <col min="1251" max="1251" width="13.3984375" style="136" customWidth="1"/>
    <col min="1252" max="1252" width="9.19921875" style="136"/>
    <col min="1253" max="1253" width="9.69921875" style="136" customWidth="1"/>
    <col min="1254" max="1254" width="11.3984375" style="136" bestFit="1" customWidth="1"/>
    <col min="1255" max="1265" width="9.19921875" style="136"/>
    <col min="1266" max="1266" width="7.59765625" style="136" bestFit="1" customWidth="1"/>
    <col min="1267" max="1269" width="9.19921875" style="136"/>
    <col min="1270" max="1270" width="9.19921875" style="136" customWidth="1"/>
    <col min="1271" max="1271" width="9.19921875" style="136"/>
    <col min="1272" max="1272" width="8.3984375" style="136" customWidth="1"/>
    <col min="1273" max="1273" width="9.19921875" style="136"/>
    <col min="1274" max="1281" width="7.8984375" style="136" bestFit="1" customWidth="1"/>
    <col min="1282" max="1284" width="8.69921875" style="136" bestFit="1" customWidth="1"/>
    <col min="1285" max="1506" width="9.19921875" style="136"/>
    <col min="1507" max="1507" width="13.3984375" style="136" customWidth="1"/>
    <col min="1508" max="1508" width="9.19921875" style="136"/>
    <col min="1509" max="1509" width="9.69921875" style="136" customWidth="1"/>
    <col min="1510" max="1510" width="11.3984375" style="136" bestFit="1" customWidth="1"/>
    <col min="1511" max="1521" width="9.19921875" style="136"/>
    <col min="1522" max="1522" width="7.59765625" style="136" bestFit="1" customWidth="1"/>
    <col min="1523" max="1525" width="9.19921875" style="136"/>
    <col min="1526" max="1526" width="9.19921875" style="136" customWidth="1"/>
    <col min="1527" max="1527" width="9.19921875" style="136"/>
    <col min="1528" max="1528" width="8.3984375" style="136" customWidth="1"/>
    <col min="1529" max="1529" width="9.19921875" style="136"/>
    <col min="1530" max="1537" width="7.8984375" style="136" bestFit="1" customWidth="1"/>
    <col min="1538" max="1540" width="8.69921875" style="136" bestFit="1" customWidth="1"/>
    <col min="1541" max="1762" width="9.19921875" style="136"/>
    <col min="1763" max="1763" width="13.3984375" style="136" customWidth="1"/>
    <col min="1764" max="1764" width="9.19921875" style="136"/>
    <col min="1765" max="1765" width="9.69921875" style="136" customWidth="1"/>
    <col min="1766" max="1766" width="11.3984375" style="136" bestFit="1" customWidth="1"/>
    <col min="1767" max="1777" width="9.19921875" style="136"/>
    <col min="1778" max="1778" width="7.59765625" style="136" bestFit="1" customWidth="1"/>
    <col min="1779" max="1781" width="9.19921875" style="136"/>
    <col min="1782" max="1782" width="9.19921875" style="136" customWidth="1"/>
    <col min="1783" max="1783" width="9.19921875" style="136"/>
    <col min="1784" max="1784" width="8.3984375" style="136" customWidth="1"/>
    <col min="1785" max="1785" width="9.19921875" style="136"/>
    <col min="1786" max="1793" width="7.8984375" style="136" bestFit="1" customWidth="1"/>
    <col min="1794" max="1796" width="8.69921875" style="136" bestFit="1" customWidth="1"/>
    <col min="1797" max="2018" width="9.19921875" style="136"/>
    <col min="2019" max="2019" width="13.3984375" style="136" customWidth="1"/>
    <col min="2020" max="2020" width="9.19921875" style="136"/>
    <col min="2021" max="2021" width="9.69921875" style="136" customWidth="1"/>
    <col min="2022" max="2022" width="11.3984375" style="136" bestFit="1" customWidth="1"/>
    <col min="2023" max="2033" width="9.19921875" style="136"/>
    <col min="2034" max="2034" width="7.59765625" style="136" bestFit="1" customWidth="1"/>
    <col min="2035" max="2037" width="9.19921875" style="136"/>
    <col min="2038" max="2038" width="9.19921875" style="136" customWidth="1"/>
    <col min="2039" max="2039" width="9.19921875" style="136"/>
    <col min="2040" max="2040" width="8.3984375" style="136" customWidth="1"/>
    <col min="2041" max="2041" width="9.19921875" style="136"/>
    <col min="2042" max="2049" width="7.8984375" style="136" bestFit="1" customWidth="1"/>
    <col min="2050" max="2052" width="8.69921875" style="136" bestFit="1" customWidth="1"/>
    <col min="2053" max="2274" width="9.19921875" style="136"/>
    <col min="2275" max="2275" width="13.3984375" style="136" customWidth="1"/>
    <col min="2276" max="2276" width="9.19921875" style="136"/>
    <col min="2277" max="2277" width="9.69921875" style="136" customWidth="1"/>
    <col min="2278" max="2278" width="11.3984375" style="136" bestFit="1" customWidth="1"/>
    <col min="2279" max="2289" width="9.19921875" style="136"/>
    <col min="2290" max="2290" width="7.59765625" style="136" bestFit="1" customWidth="1"/>
    <col min="2291" max="2293" width="9.19921875" style="136"/>
    <col min="2294" max="2294" width="9.19921875" style="136" customWidth="1"/>
    <col min="2295" max="2295" width="9.19921875" style="136"/>
    <col min="2296" max="2296" width="8.3984375" style="136" customWidth="1"/>
    <col min="2297" max="2297" width="9.19921875" style="136"/>
    <col min="2298" max="2305" width="7.8984375" style="136" bestFit="1" customWidth="1"/>
    <col min="2306" max="2308" width="8.69921875" style="136" bestFit="1" customWidth="1"/>
    <col min="2309" max="2530" width="9.19921875" style="136"/>
    <col min="2531" max="2531" width="13.3984375" style="136" customWidth="1"/>
    <col min="2532" max="2532" width="9.19921875" style="136"/>
    <col min="2533" max="2533" width="9.69921875" style="136" customWidth="1"/>
    <col min="2534" max="2534" width="11.3984375" style="136" bestFit="1" customWidth="1"/>
    <col min="2535" max="2545" width="9.19921875" style="136"/>
    <col min="2546" max="2546" width="7.59765625" style="136" bestFit="1" customWidth="1"/>
    <col min="2547" max="2549" width="9.19921875" style="136"/>
    <col min="2550" max="2550" width="9.19921875" style="136" customWidth="1"/>
    <col min="2551" max="2551" width="9.19921875" style="136"/>
    <col min="2552" max="2552" width="8.3984375" style="136" customWidth="1"/>
    <col min="2553" max="2553" width="9.19921875" style="136"/>
    <col min="2554" max="2561" width="7.8984375" style="136" bestFit="1" customWidth="1"/>
    <col min="2562" max="2564" width="8.69921875" style="136" bestFit="1" customWidth="1"/>
    <col min="2565" max="2786" width="9.19921875" style="136"/>
    <col min="2787" max="2787" width="13.3984375" style="136" customWidth="1"/>
    <col min="2788" max="2788" width="9.19921875" style="136"/>
    <col min="2789" max="2789" width="9.69921875" style="136" customWidth="1"/>
    <col min="2790" max="2790" width="11.3984375" style="136" bestFit="1" customWidth="1"/>
    <col min="2791" max="2801" width="9.19921875" style="136"/>
    <col min="2802" max="2802" width="7.59765625" style="136" bestFit="1" customWidth="1"/>
    <col min="2803" max="2805" width="9.19921875" style="136"/>
    <col min="2806" max="2806" width="9.19921875" style="136" customWidth="1"/>
    <col min="2807" max="2807" width="9.19921875" style="136"/>
    <col min="2808" max="2808" width="8.3984375" style="136" customWidth="1"/>
    <col min="2809" max="2809" width="9.19921875" style="136"/>
    <col min="2810" max="2817" width="7.8984375" style="136" bestFit="1" customWidth="1"/>
    <col min="2818" max="2820" width="8.69921875" style="136" bestFit="1" customWidth="1"/>
    <col min="2821" max="3042" width="9.19921875" style="136"/>
    <col min="3043" max="3043" width="13.3984375" style="136" customWidth="1"/>
    <col min="3044" max="3044" width="9.19921875" style="136"/>
    <col min="3045" max="3045" width="9.69921875" style="136" customWidth="1"/>
    <col min="3046" max="3046" width="11.3984375" style="136" bestFit="1" customWidth="1"/>
    <col min="3047" max="3057" width="9.19921875" style="136"/>
    <col min="3058" max="3058" width="7.59765625" style="136" bestFit="1" customWidth="1"/>
    <col min="3059" max="3061" width="9.19921875" style="136"/>
    <col min="3062" max="3062" width="9.19921875" style="136" customWidth="1"/>
    <col min="3063" max="3063" width="9.19921875" style="136"/>
    <col min="3064" max="3064" width="8.3984375" style="136" customWidth="1"/>
    <col min="3065" max="3065" width="9.19921875" style="136"/>
    <col min="3066" max="3073" width="7.8984375" style="136" bestFit="1" customWidth="1"/>
    <col min="3074" max="3076" width="8.69921875" style="136" bestFit="1" customWidth="1"/>
    <col min="3077" max="3298" width="9.19921875" style="136"/>
    <col min="3299" max="3299" width="13.3984375" style="136" customWidth="1"/>
    <col min="3300" max="3300" width="9.19921875" style="136"/>
    <col min="3301" max="3301" width="9.69921875" style="136" customWidth="1"/>
    <col min="3302" max="3302" width="11.3984375" style="136" bestFit="1" customWidth="1"/>
    <col min="3303" max="3313" width="9.19921875" style="136"/>
    <col min="3314" max="3314" width="7.59765625" style="136" bestFit="1" customWidth="1"/>
    <col min="3315" max="3317" width="9.19921875" style="136"/>
    <col min="3318" max="3318" width="9.19921875" style="136" customWidth="1"/>
    <col min="3319" max="3319" width="9.19921875" style="136"/>
    <col min="3320" max="3320" width="8.3984375" style="136" customWidth="1"/>
    <col min="3321" max="3321" width="9.19921875" style="136"/>
    <col min="3322" max="3329" width="7.8984375" style="136" bestFit="1" customWidth="1"/>
    <col min="3330" max="3332" width="8.69921875" style="136" bestFit="1" customWidth="1"/>
    <col min="3333" max="3554" width="9.19921875" style="136"/>
    <col min="3555" max="3555" width="13.3984375" style="136" customWidth="1"/>
    <col min="3556" max="3556" width="9.19921875" style="136"/>
    <col min="3557" max="3557" width="9.69921875" style="136" customWidth="1"/>
    <col min="3558" max="3558" width="11.3984375" style="136" bestFit="1" customWidth="1"/>
    <col min="3559" max="3569" width="9.19921875" style="136"/>
    <col min="3570" max="3570" width="7.59765625" style="136" bestFit="1" customWidth="1"/>
    <col min="3571" max="3573" width="9.19921875" style="136"/>
    <col min="3574" max="3574" width="9.19921875" style="136" customWidth="1"/>
    <col min="3575" max="3575" width="9.19921875" style="136"/>
    <col min="3576" max="3576" width="8.3984375" style="136" customWidth="1"/>
    <col min="3577" max="3577" width="9.19921875" style="136"/>
    <col min="3578" max="3585" width="7.8984375" style="136" bestFit="1" customWidth="1"/>
    <col min="3586" max="3588" width="8.69921875" style="136" bestFit="1" customWidth="1"/>
    <col min="3589" max="3810" width="9.19921875" style="136"/>
    <col min="3811" max="3811" width="13.3984375" style="136" customWidth="1"/>
    <col min="3812" max="3812" width="9.19921875" style="136"/>
    <col min="3813" max="3813" width="9.69921875" style="136" customWidth="1"/>
    <col min="3814" max="3814" width="11.3984375" style="136" bestFit="1" customWidth="1"/>
    <col min="3815" max="3825" width="9.19921875" style="136"/>
    <col min="3826" max="3826" width="7.59765625" style="136" bestFit="1" customWidth="1"/>
    <col min="3827" max="3829" width="9.19921875" style="136"/>
    <col min="3830" max="3830" width="9.19921875" style="136" customWidth="1"/>
    <col min="3831" max="3831" width="9.19921875" style="136"/>
    <col min="3832" max="3832" width="8.3984375" style="136" customWidth="1"/>
    <col min="3833" max="3833" width="9.19921875" style="136"/>
    <col min="3834" max="3841" width="7.8984375" style="136" bestFit="1" customWidth="1"/>
    <col min="3842" max="3844" width="8.69921875" style="136" bestFit="1" customWidth="1"/>
    <col min="3845" max="4066" width="9.19921875" style="136"/>
    <col min="4067" max="4067" width="13.3984375" style="136" customWidth="1"/>
    <col min="4068" max="4068" width="9.19921875" style="136"/>
    <col min="4069" max="4069" width="9.69921875" style="136" customWidth="1"/>
    <col min="4070" max="4070" width="11.3984375" style="136" bestFit="1" customWidth="1"/>
    <col min="4071" max="4081" width="9.19921875" style="136"/>
    <col min="4082" max="4082" width="7.59765625" style="136" bestFit="1" customWidth="1"/>
    <col min="4083" max="4085" width="9.19921875" style="136"/>
    <col min="4086" max="4086" width="9.19921875" style="136" customWidth="1"/>
    <col min="4087" max="4087" width="9.19921875" style="136"/>
    <col min="4088" max="4088" width="8.3984375" style="136" customWidth="1"/>
    <col min="4089" max="4089" width="9.19921875" style="136"/>
    <col min="4090" max="4097" width="7.8984375" style="136" bestFit="1" customWidth="1"/>
    <col min="4098" max="4100" width="8.69921875" style="136" bestFit="1" customWidth="1"/>
    <col min="4101" max="4322" width="9.19921875" style="136"/>
    <col min="4323" max="4323" width="13.3984375" style="136" customWidth="1"/>
    <col min="4324" max="4324" width="9.19921875" style="136"/>
    <col min="4325" max="4325" width="9.69921875" style="136" customWidth="1"/>
    <col min="4326" max="4326" width="11.3984375" style="136" bestFit="1" customWidth="1"/>
    <col min="4327" max="4337" width="9.19921875" style="136"/>
    <col min="4338" max="4338" width="7.59765625" style="136" bestFit="1" customWidth="1"/>
    <col min="4339" max="4341" width="9.19921875" style="136"/>
    <col min="4342" max="4342" width="9.19921875" style="136" customWidth="1"/>
    <col min="4343" max="4343" width="9.19921875" style="136"/>
    <col min="4344" max="4344" width="8.3984375" style="136" customWidth="1"/>
    <col min="4345" max="4345" width="9.19921875" style="136"/>
    <col min="4346" max="4353" width="7.8984375" style="136" bestFit="1" customWidth="1"/>
    <col min="4354" max="4356" width="8.69921875" style="136" bestFit="1" customWidth="1"/>
    <col min="4357" max="4578" width="9.19921875" style="136"/>
    <col min="4579" max="4579" width="13.3984375" style="136" customWidth="1"/>
    <col min="4580" max="4580" width="9.19921875" style="136"/>
    <col min="4581" max="4581" width="9.69921875" style="136" customWidth="1"/>
    <col min="4582" max="4582" width="11.3984375" style="136" bestFit="1" customWidth="1"/>
    <col min="4583" max="4593" width="9.19921875" style="136"/>
    <col min="4594" max="4594" width="7.59765625" style="136" bestFit="1" customWidth="1"/>
    <col min="4595" max="4597" width="9.19921875" style="136"/>
    <col min="4598" max="4598" width="9.19921875" style="136" customWidth="1"/>
    <col min="4599" max="4599" width="9.19921875" style="136"/>
    <col min="4600" max="4600" width="8.3984375" style="136" customWidth="1"/>
    <col min="4601" max="4601" width="9.19921875" style="136"/>
    <col min="4602" max="4609" width="7.8984375" style="136" bestFit="1" customWidth="1"/>
    <col min="4610" max="4612" width="8.69921875" style="136" bestFit="1" customWidth="1"/>
    <col min="4613" max="4834" width="9.19921875" style="136"/>
    <col min="4835" max="4835" width="13.3984375" style="136" customWidth="1"/>
    <col min="4836" max="4836" width="9.19921875" style="136"/>
    <col min="4837" max="4837" width="9.69921875" style="136" customWidth="1"/>
    <col min="4838" max="4838" width="11.3984375" style="136" bestFit="1" customWidth="1"/>
    <col min="4839" max="4849" width="9.19921875" style="136"/>
    <col min="4850" max="4850" width="7.59765625" style="136" bestFit="1" customWidth="1"/>
    <col min="4851" max="4853" width="9.19921875" style="136"/>
    <col min="4854" max="4854" width="9.19921875" style="136" customWidth="1"/>
    <col min="4855" max="4855" width="9.19921875" style="136"/>
    <col min="4856" max="4856" width="8.3984375" style="136" customWidth="1"/>
    <col min="4857" max="4857" width="9.19921875" style="136"/>
    <col min="4858" max="4865" width="7.8984375" style="136" bestFit="1" customWidth="1"/>
    <col min="4866" max="4868" width="8.69921875" style="136" bestFit="1" customWidth="1"/>
    <col min="4869" max="5090" width="9.19921875" style="136"/>
    <col min="5091" max="5091" width="13.3984375" style="136" customWidth="1"/>
    <col min="5092" max="5092" width="9.19921875" style="136"/>
    <col min="5093" max="5093" width="9.69921875" style="136" customWidth="1"/>
    <col min="5094" max="5094" width="11.3984375" style="136" bestFit="1" customWidth="1"/>
    <col min="5095" max="5105" width="9.19921875" style="136"/>
    <col min="5106" max="5106" width="7.59765625" style="136" bestFit="1" customWidth="1"/>
    <col min="5107" max="5109" width="9.19921875" style="136"/>
    <col min="5110" max="5110" width="9.19921875" style="136" customWidth="1"/>
    <col min="5111" max="5111" width="9.19921875" style="136"/>
    <col min="5112" max="5112" width="8.3984375" style="136" customWidth="1"/>
    <col min="5113" max="5113" width="9.19921875" style="136"/>
    <col min="5114" max="5121" width="7.8984375" style="136" bestFit="1" customWidth="1"/>
    <col min="5122" max="5124" width="8.69921875" style="136" bestFit="1" customWidth="1"/>
    <col min="5125" max="5346" width="9.19921875" style="136"/>
    <col min="5347" max="5347" width="13.3984375" style="136" customWidth="1"/>
    <col min="5348" max="5348" width="9.19921875" style="136"/>
    <col min="5349" max="5349" width="9.69921875" style="136" customWidth="1"/>
    <col min="5350" max="5350" width="11.3984375" style="136" bestFit="1" customWidth="1"/>
    <col min="5351" max="5361" width="9.19921875" style="136"/>
    <col min="5362" max="5362" width="7.59765625" style="136" bestFit="1" customWidth="1"/>
    <col min="5363" max="5365" width="9.19921875" style="136"/>
    <col min="5366" max="5366" width="9.19921875" style="136" customWidth="1"/>
    <col min="5367" max="5367" width="9.19921875" style="136"/>
    <col min="5368" max="5368" width="8.3984375" style="136" customWidth="1"/>
    <col min="5369" max="5369" width="9.19921875" style="136"/>
    <col min="5370" max="5377" width="7.8984375" style="136" bestFit="1" customWidth="1"/>
    <col min="5378" max="5380" width="8.69921875" style="136" bestFit="1" customWidth="1"/>
    <col min="5381" max="5602" width="9.19921875" style="136"/>
    <col min="5603" max="5603" width="13.3984375" style="136" customWidth="1"/>
    <col min="5604" max="5604" width="9.19921875" style="136"/>
    <col min="5605" max="5605" width="9.69921875" style="136" customWidth="1"/>
    <col min="5606" max="5606" width="11.3984375" style="136" bestFit="1" customWidth="1"/>
    <col min="5607" max="5617" width="9.19921875" style="136"/>
    <col min="5618" max="5618" width="7.59765625" style="136" bestFit="1" customWidth="1"/>
    <col min="5619" max="5621" width="9.19921875" style="136"/>
    <col min="5622" max="5622" width="9.19921875" style="136" customWidth="1"/>
    <col min="5623" max="5623" width="9.19921875" style="136"/>
    <col min="5624" max="5624" width="8.3984375" style="136" customWidth="1"/>
    <col min="5625" max="5625" width="9.19921875" style="136"/>
    <col min="5626" max="5633" width="7.8984375" style="136" bestFit="1" customWidth="1"/>
    <col min="5634" max="5636" width="8.69921875" style="136" bestFit="1" customWidth="1"/>
    <col min="5637" max="5858" width="9.19921875" style="136"/>
    <col min="5859" max="5859" width="13.3984375" style="136" customWidth="1"/>
    <col min="5860" max="5860" width="9.19921875" style="136"/>
    <col min="5861" max="5861" width="9.69921875" style="136" customWidth="1"/>
    <col min="5862" max="5862" width="11.3984375" style="136" bestFit="1" customWidth="1"/>
    <col min="5863" max="5873" width="9.19921875" style="136"/>
    <col min="5874" max="5874" width="7.59765625" style="136" bestFit="1" customWidth="1"/>
    <col min="5875" max="5877" width="9.19921875" style="136"/>
    <col min="5878" max="5878" width="9.19921875" style="136" customWidth="1"/>
    <col min="5879" max="5879" width="9.19921875" style="136"/>
    <col min="5880" max="5880" width="8.3984375" style="136" customWidth="1"/>
    <col min="5881" max="5881" width="9.19921875" style="136"/>
    <col min="5882" max="5889" width="7.8984375" style="136" bestFit="1" customWidth="1"/>
    <col min="5890" max="5892" width="8.69921875" style="136" bestFit="1" customWidth="1"/>
    <col min="5893" max="6114" width="9.19921875" style="136"/>
    <col min="6115" max="6115" width="13.3984375" style="136" customWidth="1"/>
    <col min="6116" max="6116" width="9.19921875" style="136"/>
    <col min="6117" max="6117" width="9.69921875" style="136" customWidth="1"/>
    <col min="6118" max="6118" width="11.3984375" style="136" bestFit="1" customWidth="1"/>
    <col min="6119" max="6129" width="9.19921875" style="136"/>
    <col min="6130" max="6130" width="7.59765625" style="136" bestFit="1" customWidth="1"/>
    <col min="6131" max="6133" width="9.19921875" style="136"/>
    <col min="6134" max="6134" width="9.19921875" style="136" customWidth="1"/>
    <col min="6135" max="6135" width="9.19921875" style="136"/>
    <col min="6136" max="6136" width="8.3984375" style="136" customWidth="1"/>
    <col min="6137" max="6137" width="9.19921875" style="136"/>
    <col min="6138" max="6145" width="7.8984375" style="136" bestFit="1" customWidth="1"/>
    <col min="6146" max="6148" width="8.69921875" style="136" bestFit="1" customWidth="1"/>
    <col min="6149" max="6370" width="9.19921875" style="136"/>
    <col min="6371" max="6371" width="13.3984375" style="136" customWidth="1"/>
    <col min="6372" max="6372" width="9.19921875" style="136"/>
    <col min="6373" max="6373" width="9.69921875" style="136" customWidth="1"/>
    <col min="6374" max="6374" width="11.3984375" style="136" bestFit="1" customWidth="1"/>
    <col min="6375" max="6385" width="9.19921875" style="136"/>
    <col min="6386" max="6386" width="7.59765625" style="136" bestFit="1" customWidth="1"/>
    <col min="6387" max="6389" width="9.19921875" style="136"/>
    <col min="6390" max="6390" width="9.19921875" style="136" customWidth="1"/>
    <col min="6391" max="6391" width="9.19921875" style="136"/>
    <col min="6392" max="6392" width="8.3984375" style="136" customWidth="1"/>
    <col min="6393" max="6393" width="9.19921875" style="136"/>
    <col min="6394" max="6401" width="7.8984375" style="136" bestFit="1" customWidth="1"/>
    <col min="6402" max="6404" width="8.69921875" style="136" bestFit="1" customWidth="1"/>
    <col min="6405" max="6626" width="9.19921875" style="136"/>
    <col min="6627" max="6627" width="13.3984375" style="136" customWidth="1"/>
    <col min="6628" max="6628" width="9.19921875" style="136"/>
    <col min="6629" max="6629" width="9.69921875" style="136" customWidth="1"/>
    <col min="6630" max="6630" width="11.3984375" style="136" bestFit="1" customWidth="1"/>
    <col min="6631" max="6641" width="9.19921875" style="136"/>
    <col min="6642" max="6642" width="7.59765625" style="136" bestFit="1" customWidth="1"/>
    <col min="6643" max="6645" width="9.19921875" style="136"/>
    <col min="6646" max="6646" width="9.19921875" style="136" customWidth="1"/>
    <col min="6647" max="6647" width="9.19921875" style="136"/>
    <col min="6648" max="6648" width="8.3984375" style="136" customWidth="1"/>
    <col min="6649" max="6649" width="9.19921875" style="136"/>
    <col min="6650" max="6657" width="7.8984375" style="136" bestFit="1" customWidth="1"/>
    <col min="6658" max="6660" width="8.69921875" style="136" bestFit="1" customWidth="1"/>
    <col min="6661" max="6882" width="9.19921875" style="136"/>
    <col min="6883" max="6883" width="13.3984375" style="136" customWidth="1"/>
    <col min="6884" max="6884" width="9.19921875" style="136"/>
    <col min="6885" max="6885" width="9.69921875" style="136" customWidth="1"/>
    <col min="6886" max="6886" width="11.3984375" style="136" bestFit="1" customWidth="1"/>
    <col min="6887" max="6897" width="9.19921875" style="136"/>
    <col min="6898" max="6898" width="7.59765625" style="136" bestFit="1" customWidth="1"/>
    <col min="6899" max="6901" width="9.19921875" style="136"/>
    <col min="6902" max="6902" width="9.19921875" style="136" customWidth="1"/>
    <col min="6903" max="6903" width="9.19921875" style="136"/>
    <col min="6904" max="6904" width="8.3984375" style="136" customWidth="1"/>
    <col min="6905" max="6905" width="9.19921875" style="136"/>
    <col min="6906" max="6913" width="7.8984375" style="136" bestFit="1" customWidth="1"/>
    <col min="6914" max="6916" width="8.69921875" style="136" bestFit="1" customWidth="1"/>
    <col min="6917" max="7138" width="9.19921875" style="136"/>
    <col min="7139" max="7139" width="13.3984375" style="136" customWidth="1"/>
    <col min="7140" max="7140" width="9.19921875" style="136"/>
    <col min="7141" max="7141" width="9.69921875" style="136" customWidth="1"/>
    <col min="7142" max="7142" width="11.3984375" style="136" bestFit="1" customWidth="1"/>
    <col min="7143" max="7153" width="9.19921875" style="136"/>
    <col min="7154" max="7154" width="7.59765625" style="136" bestFit="1" customWidth="1"/>
    <col min="7155" max="7157" width="9.19921875" style="136"/>
    <col min="7158" max="7158" width="9.19921875" style="136" customWidth="1"/>
    <col min="7159" max="7159" width="9.19921875" style="136"/>
    <col min="7160" max="7160" width="8.3984375" style="136" customWidth="1"/>
    <col min="7161" max="7161" width="9.19921875" style="136"/>
    <col min="7162" max="7169" width="7.8984375" style="136" bestFit="1" customWidth="1"/>
    <col min="7170" max="7172" width="8.69921875" style="136" bestFit="1" customWidth="1"/>
    <col min="7173" max="7394" width="9.19921875" style="136"/>
    <col min="7395" max="7395" width="13.3984375" style="136" customWidth="1"/>
    <col min="7396" max="7396" width="9.19921875" style="136"/>
    <col min="7397" max="7397" width="9.69921875" style="136" customWidth="1"/>
    <col min="7398" max="7398" width="11.3984375" style="136" bestFit="1" customWidth="1"/>
    <col min="7399" max="7409" width="9.19921875" style="136"/>
    <col min="7410" max="7410" width="7.59765625" style="136" bestFit="1" customWidth="1"/>
    <col min="7411" max="7413" width="9.19921875" style="136"/>
    <col min="7414" max="7414" width="9.19921875" style="136" customWidth="1"/>
    <col min="7415" max="7415" width="9.19921875" style="136"/>
    <col min="7416" max="7416" width="8.3984375" style="136" customWidth="1"/>
    <col min="7417" max="7417" width="9.19921875" style="136"/>
    <col min="7418" max="7425" width="7.8984375" style="136" bestFit="1" customWidth="1"/>
    <col min="7426" max="7428" width="8.69921875" style="136" bestFit="1" customWidth="1"/>
    <col min="7429" max="7650" width="9.19921875" style="136"/>
    <col min="7651" max="7651" width="13.3984375" style="136" customWidth="1"/>
    <col min="7652" max="7652" width="9.19921875" style="136"/>
    <col min="7653" max="7653" width="9.69921875" style="136" customWidth="1"/>
    <col min="7654" max="7654" width="11.3984375" style="136" bestFit="1" customWidth="1"/>
    <col min="7655" max="7665" width="9.19921875" style="136"/>
    <col min="7666" max="7666" width="7.59765625" style="136" bestFit="1" customWidth="1"/>
    <col min="7667" max="7669" width="9.19921875" style="136"/>
    <col min="7670" max="7670" width="9.19921875" style="136" customWidth="1"/>
    <col min="7671" max="7671" width="9.19921875" style="136"/>
    <col min="7672" max="7672" width="8.3984375" style="136" customWidth="1"/>
    <col min="7673" max="7673" width="9.19921875" style="136"/>
    <col min="7674" max="7681" width="7.8984375" style="136" bestFit="1" customWidth="1"/>
    <col min="7682" max="7684" width="8.69921875" style="136" bestFit="1" customWidth="1"/>
    <col min="7685" max="7906" width="9.19921875" style="136"/>
    <col min="7907" max="7907" width="13.3984375" style="136" customWidth="1"/>
    <col min="7908" max="7908" width="9.19921875" style="136"/>
    <col min="7909" max="7909" width="9.69921875" style="136" customWidth="1"/>
    <col min="7910" max="7910" width="11.3984375" style="136" bestFit="1" customWidth="1"/>
    <col min="7911" max="7921" width="9.19921875" style="136"/>
    <col min="7922" max="7922" width="7.59765625" style="136" bestFit="1" customWidth="1"/>
    <col min="7923" max="7925" width="9.19921875" style="136"/>
    <col min="7926" max="7926" width="9.19921875" style="136" customWidth="1"/>
    <col min="7927" max="7927" width="9.19921875" style="136"/>
    <col min="7928" max="7928" width="8.3984375" style="136" customWidth="1"/>
    <col min="7929" max="7929" width="9.19921875" style="136"/>
    <col min="7930" max="7937" width="7.8984375" style="136" bestFit="1" customWidth="1"/>
    <col min="7938" max="7940" width="8.69921875" style="136" bestFit="1" customWidth="1"/>
    <col min="7941" max="8162" width="9.19921875" style="136"/>
    <col min="8163" max="8163" width="13.3984375" style="136" customWidth="1"/>
    <col min="8164" max="8164" width="9.19921875" style="136"/>
    <col min="8165" max="8165" width="9.69921875" style="136" customWidth="1"/>
    <col min="8166" max="8166" width="11.3984375" style="136" bestFit="1" customWidth="1"/>
    <col min="8167" max="8177" width="9.19921875" style="136"/>
    <col min="8178" max="8178" width="7.59765625" style="136" bestFit="1" customWidth="1"/>
    <col min="8179" max="8181" width="9.19921875" style="136"/>
    <col min="8182" max="8182" width="9.19921875" style="136" customWidth="1"/>
    <col min="8183" max="8183" width="9.19921875" style="136"/>
    <col min="8184" max="8184" width="8.3984375" style="136" customWidth="1"/>
    <col min="8185" max="8185" width="9.19921875" style="136"/>
    <col min="8186" max="8193" width="7.8984375" style="136" bestFit="1" customWidth="1"/>
    <col min="8194" max="8196" width="8.69921875" style="136" bestFit="1" customWidth="1"/>
    <col min="8197" max="8418" width="9.19921875" style="136"/>
    <col min="8419" max="8419" width="13.3984375" style="136" customWidth="1"/>
    <col min="8420" max="8420" width="9.19921875" style="136"/>
    <col min="8421" max="8421" width="9.69921875" style="136" customWidth="1"/>
    <col min="8422" max="8422" width="11.3984375" style="136" bestFit="1" customWidth="1"/>
    <col min="8423" max="8433" width="9.19921875" style="136"/>
    <col min="8434" max="8434" width="7.59765625" style="136" bestFit="1" customWidth="1"/>
    <col min="8435" max="8437" width="9.19921875" style="136"/>
    <col min="8438" max="8438" width="9.19921875" style="136" customWidth="1"/>
    <col min="8439" max="8439" width="9.19921875" style="136"/>
    <col min="8440" max="8440" width="8.3984375" style="136" customWidth="1"/>
    <col min="8441" max="8441" width="9.19921875" style="136"/>
    <col min="8442" max="8449" width="7.8984375" style="136" bestFit="1" customWidth="1"/>
    <col min="8450" max="8452" width="8.69921875" style="136" bestFit="1" customWidth="1"/>
    <col min="8453" max="8674" width="9.19921875" style="136"/>
    <col min="8675" max="8675" width="13.3984375" style="136" customWidth="1"/>
    <col min="8676" max="8676" width="9.19921875" style="136"/>
    <col min="8677" max="8677" width="9.69921875" style="136" customWidth="1"/>
    <col min="8678" max="8678" width="11.3984375" style="136" bestFit="1" customWidth="1"/>
    <col min="8679" max="8689" width="9.19921875" style="136"/>
    <col min="8690" max="8690" width="7.59765625" style="136" bestFit="1" customWidth="1"/>
    <col min="8691" max="8693" width="9.19921875" style="136"/>
    <col min="8694" max="8694" width="9.19921875" style="136" customWidth="1"/>
    <col min="8695" max="8695" width="9.19921875" style="136"/>
    <col min="8696" max="8696" width="8.3984375" style="136" customWidth="1"/>
    <col min="8697" max="8697" width="9.19921875" style="136"/>
    <col min="8698" max="8705" width="7.8984375" style="136" bestFit="1" customWidth="1"/>
    <col min="8706" max="8708" width="8.69921875" style="136" bestFit="1" customWidth="1"/>
    <col min="8709" max="8930" width="9.19921875" style="136"/>
    <col min="8931" max="8931" width="13.3984375" style="136" customWidth="1"/>
    <col min="8932" max="8932" width="9.19921875" style="136"/>
    <col min="8933" max="8933" width="9.69921875" style="136" customWidth="1"/>
    <col min="8934" max="8934" width="11.3984375" style="136" bestFit="1" customWidth="1"/>
    <col min="8935" max="8945" width="9.19921875" style="136"/>
    <col min="8946" max="8946" width="7.59765625" style="136" bestFit="1" customWidth="1"/>
    <col min="8947" max="8949" width="9.19921875" style="136"/>
    <col min="8950" max="8950" width="9.19921875" style="136" customWidth="1"/>
    <col min="8951" max="8951" width="9.19921875" style="136"/>
    <col min="8952" max="8952" width="8.3984375" style="136" customWidth="1"/>
    <col min="8953" max="8953" width="9.19921875" style="136"/>
    <col min="8954" max="8961" width="7.8984375" style="136" bestFit="1" customWidth="1"/>
    <col min="8962" max="8964" width="8.69921875" style="136" bestFit="1" customWidth="1"/>
    <col min="8965" max="9186" width="9.19921875" style="136"/>
    <col min="9187" max="9187" width="13.3984375" style="136" customWidth="1"/>
    <col min="9188" max="9188" width="9.19921875" style="136"/>
    <col min="9189" max="9189" width="9.69921875" style="136" customWidth="1"/>
    <col min="9190" max="9190" width="11.3984375" style="136" bestFit="1" customWidth="1"/>
    <col min="9191" max="9201" width="9.19921875" style="136"/>
    <col min="9202" max="9202" width="7.59765625" style="136" bestFit="1" customWidth="1"/>
    <col min="9203" max="9205" width="9.19921875" style="136"/>
    <col min="9206" max="9206" width="9.19921875" style="136" customWidth="1"/>
    <col min="9207" max="9207" width="9.19921875" style="136"/>
    <col min="9208" max="9208" width="8.3984375" style="136" customWidth="1"/>
    <col min="9209" max="9209" width="9.19921875" style="136"/>
    <col min="9210" max="9217" width="7.8984375" style="136" bestFit="1" customWidth="1"/>
    <col min="9218" max="9220" width="8.69921875" style="136" bestFit="1" customWidth="1"/>
    <col min="9221" max="9442" width="9.19921875" style="136"/>
    <col min="9443" max="9443" width="13.3984375" style="136" customWidth="1"/>
    <col min="9444" max="9444" width="9.19921875" style="136"/>
    <col min="9445" max="9445" width="9.69921875" style="136" customWidth="1"/>
    <col min="9446" max="9446" width="11.3984375" style="136" bestFit="1" customWidth="1"/>
    <col min="9447" max="9457" width="9.19921875" style="136"/>
    <col min="9458" max="9458" width="7.59765625" style="136" bestFit="1" customWidth="1"/>
    <col min="9459" max="9461" width="9.19921875" style="136"/>
    <col min="9462" max="9462" width="9.19921875" style="136" customWidth="1"/>
    <col min="9463" max="9463" width="9.19921875" style="136"/>
    <col min="9464" max="9464" width="8.3984375" style="136" customWidth="1"/>
    <col min="9465" max="9465" width="9.19921875" style="136"/>
    <col min="9466" max="9473" width="7.8984375" style="136" bestFit="1" customWidth="1"/>
    <col min="9474" max="9476" width="8.69921875" style="136" bestFit="1" customWidth="1"/>
    <col min="9477" max="9698" width="9.19921875" style="136"/>
    <col min="9699" max="9699" width="13.3984375" style="136" customWidth="1"/>
    <col min="9700" max="9700" width="9.19921875" style="136"/>
    <col min="9701" max="9701" width="9.69921875" style="136" customWidth="1"/>
    <col min="9702" max="9702" width="11.3984375" style="136" bestFit="1" customWidth="1"/>
    <col min="9703" max="9713" width="9.19921875" style="136"/>
    <col min="9714" max="9714" width="7.59765625" style="136" bestFit="1" customWidth="1"/>
    <col min="9715" max="9717" width="9.19921875" style="136"/>
    <col min="9718" max="9718" width="9.19921875" style="136" customWidth="1"/>
    <col min="9719" max="9719" width="9.19921875" style="136"/>
    <col min="9720" max="9720" width="8.3984375" style="136" customWidth="1"/>
    <col min="9721" max="9721" width="9.19921875" style="136"/>
    <col min="9722" max="9729" width="7.8984375" style="136" bestFit="1" customWidth="1"/>
    <col min="9730" max="9732" width="8.69921875" style="136" bestFit="1" customWidth="1"/>
    <col min="9733" max="9954" width="9.19921875" style="136"/>
    <col min="9955" max="9955" width="13.3984375" style="136" customWidth="1"/>
    <col min="9956" max="9956" width="9.19921875" style="136"/>
    <col min="9957" max="9957" width="9.69921875" style="136" customWidth="1"/>
    <col min="9958" max="9958" width="11.3984375" style="136" bestFit="1" customWidth="1"/>
    <col min="9959" max="9969" width="9.19921875" style="136"/>
    <col min="9970" max="9970" width="7.59765625" style="136" bestFit="1" customWidth="1"/>
    <col min="9971" max="9973" width="9.19921875" style="136"/>
    <col min="9974" max="9974" width="9.19921875" style="136" customWidth="1"/>
    <col min="9975" max="9975" width="9.19921875" style="136"/>
    <col min="9976" max="9976" width="8.3984375" style="136" customWidth="1"/>
    <col min="9977" max="9977" width="9.19921875" style="136"/>
    <col min="9978" max="9985" width="7.8984375" style="136" bestFit="1" customWidth="1"/>
    <col min="9986" max="9988" width="8.69921875" style="136" bestFit="1" customWidth="1"/>
    <col min="9989" max="10210" width="9.19921875" style="136"/>
    <col min="10211" max="10211" width="13.3984375" style="136" customWidth="1"/>
    <col min="10212" max="10212" width="9.19921875" style="136"/>
    <col min="10213" max="10213" width="9.69921875" style="136" customWidth="1"/>
    <col min="10214" max="10214" width="11.3984375" style="136" bestFit="1" customWidth="1"/>
    <col min="10215" max="10225" width="9.19921875" style="136"/>
    <col min="10226" max="10226" width="7.59765625" style="136" bestFit="1" customWidth="1"/>
    <col min="10227" max="10229" width="9.19921875" style="136"/>
    <col min="10230" max="10230" width="9.19921875" style="136" customWidth="1"/>
    <col min="10231" max="10231" width="9.19921875" style="136"/>
    <col min="10232" max="10232" width="8.3984375" style="136" customWidth="1"/>
    <col min="10233" max="10233" width="9.19921875" style="136"/>
    <col min="10234" max="10241" width="7.8984375" style="136" bestFit="1" customWidth="1"/>
    <col min="10242" max="10244" width="8.69921875" style="136" bestFit="1" customWidth="1"/>
    <col min="10245" max="10466" width="9.19921875" style="136"/>
    <col min="10467" max="10467" width="13.3984375" style="136" customWidth="1"/>
    <col min="10468" max="10468" width="9.19921875" style="136"/>
    <col min="10469" max="10469" width="9.69921875" style="136" customWidth="1"/>
    <col min="10470" max="10470" width="11.3984375" style="136" bestFit="1" customWidth="1"/>
    <col min="10471" max="10481" width="9.19921875" style="136"/>
    <col min="10482" max="10482" width="7.59765625" style="136" bestFit="1" customWidth="1"/>
    <col min="10483" max="10485" width="9.19921875" style="136"/>
    <col min="10486" max="10486" width="9.19921875" style="136" customWidth="1"/>
    <col min="10487" max="10487" width="9.19921875" style="136"/>
    <col min="10488" max="10488" width="8.3984375" style="136" customWidth="1"/>
    <col min="10489" max="10489" width="9.19921875" style="136"/>
    <col min="10490" max="10497" width="7.8984375" style="136" bestFit="1" customWidth="1"/>
    <col min="10498" max="10500" width="8.69921875" style="136" bestFit="1" customWidth="1"/>
    <col min="10501" max="10722" width="9.19921875" style="136"/>
    <col min="10723" max="10723" width="13.3984375" style="136" customWidth="1"/>
    <col min="10724" max="10724" width="9.19921875" style="136"/>
    <col min="10725" max="10725" width="9.69921875" style="136" customWidth="1"/>
    <col min="10726" max="10726" width="11.3984375" style="136" bestFit="1" customWidth="1"/>
    <col min="10727" max="10737" width="9.19921875" style="136"/>
    <col min="10738" max="10738" width="7.59765625" style="136" bestFit="1" customWidth="1"/>
    <col min="10739" max="10741" width="9.19921875" style="136"/>
    <col min="10742" max="10742" width="9.19921875" style="136" customWidth="1"/>
    <col min="10743" max="10743" width="9.19921875" style="136"/>
    <col min="10744" max="10744" width="8.3984375" style="136" customWidth="1"/>
    <col min="10745" max="10745" width="9.19921875" style="136"/>
    <col min="10746" max="10753" width="7.8984375" style="136" bestFit="1" customWidth="1"/>
    <col min="10754" max="10756" width="8.69921875" style="136" bestFit="1" customWidth="1"/>
    <col min="10757" max="10978" width="9.19921875" style="136"/>
    <col min="10979" max="10979" width="13.3984375" style="136" customWidth="1"/>
    <col min="10980" max="10980" width="9.19921875" style="136"/>
    <col min="10981" max="10981" width="9.69921875" style="136" customWidth="1"/>
    <col min="10982" max="10982" width="11.3984375" style="136" bestFit="1" customWidth="1"/>
    <col min="10983" max="10993" width="9.19921875" style="136"/>
    <col min="10994" max="10994" width="7.59765625" style="136" bestFit="1" customWidth="1"/>
    <col min="10995" max="10997" width="9.19921875" style="136"/>
    <col min="10998" max="10998" width="9.19921875" style="136" customWidth="1"/>
    <col min="10999" max="10999" width="9.19921875" style="136"/>
    <col min="11000" max="11000" width="8.3984375" style="136" customWidth="1"/>
    <col min="11001" max="11001" width="9.19921875" style="136"/>
    <col min="11002" max="11009" width="7.8984375" style="136" bestFit="1" customWidth="1"/>
    <col min="11010" max="11012" width="8.69921875" style="136" bestFit="1" customWidth="1"/>
    <col min="11013" max="11234" width="9.19921875" style="136"/>
    <col min="11235" max="11235" width="13.3984375" style="136" customWidth="1"/>
    <col min="11236" max="11236" width="9.19921875" style="136"/>
    <col min="11237" max="11237" width="9.69921875" style="136" customWidth="1"/>
    <col min="11238" max="11238" width="11.3984375" style="136" bestFit="1" customWidth="1"/>
    <col min="11239" max="11249" width="9.19921875" style="136"/>
    <col min="11250" max="11250" width="7.59765625" style="136" bestFit="1" customWidth="1"/>
    <col min="11251" max="11253" width="9.19921875" style="136"/>
    <col min="11254" max="11254" width="9.19921875" style="136" customWidth="1"/>
    <col min="11255" max="11255" width="9.19921875" style="136"/>
    <col min="11256" max="11256" width="8.3984375" style="136" customWidth="1"/>
    <col min="11257" max="11257" width="9.19921875" style="136"/>
    <col min="11258" max="11265" width="7.8984375" style="136" bestFit="1" customWidth="1"/>
    <col min="11266" max="11268" width="8.69921875" style="136" bestFit="1" customWidth="1"/>
    <col min="11269" max="11490" width="9.19921875" style="136"/>
    <col min="11491" max="11491" width="13.3984375" style="136" customWidth="1"/>
    <col min="11492" max="11492" width="9.19921875" style="136"/>
    <col min="11493" max="11493" width="9.69921875" style="136" customWidth="1"/>
    <col min="11494" max="11494" width="11.3984375" style="136" bestFit="1" customWidth="1"/>
    <col min="11495" max="11505" width="9.19921875" style="136"/>
    <col min="11506" max="11506" width="7.59765625" style="136" bestFit="1" customWidth="1"/>
    <col min="11507" max="11509" width="9.19921875" style="136"/>
    <col min="11510" max="11510" width="9.19921875" style="136" customWidth="1"/>
    <col min="11511" max="11511" width="9.19921875" style="136"/>
    <col min="11512" max="11512" width="8.3984375" style="136" customWidth="1"/>
    <col min="11513" max="11513" width="9.19921875" style="136"/>
    <col min="11514" max="11521" width="7.8984375" style="136" bestFit="1" customWidth="1"/>
    <col min="11522" max="11524" width="8.69921875" style="136" bestFit="1" customWidth="1"/>
    <col min="11525" max="11746" width="9.19921875" style="136"/>
    <col min="11747" max="11747" width="13.3984375" style="136" customWidth="1"/>
    <col min="11748" max="11748" width="9.19921875" style="136"/>
    <col min="11749" max="11749" width="9.69921875" style="136" customWidth="1"/>
    <col min="11750" max="11750" width="11.3984375" style="136" bestFit="1" customWidth="1"/>
    <col min="11751" max="11761" width="9.19921875" style="136"/>
    <col min="11762" max="11762" width="7.59765625" style="136" bestFit="1" customWidth="1"/>
    <col min="11763" max="11765" width="9.19921875" style="136"/>
    <col min="11766" max="11766" width="9.19921875" style="136" customWidth="1"/>
    <col min="11767" max="11767" width="9.19921875" style="136"/>
    <col min="11768" max="11768" width="8.3984375" style="136" customWidth="1"/>
    <col min="11769" max="11769" width="9.19921875" style="136"/>
    <col min="11770" max="11777" width="7.8984375" style="136" bestFit="1" customWidth="1"/>
    <col min="11778" max="11780" width="8.69921875" style="136" bestFit="1" customWidth="1"/>
    <col min="11781" max="12002" width="9.19921875" style="136"/>
    <col min="12003" max="12003" width="13.3984375" style="136" customWidth="1"/>
    <col min="12004" max="12004" width="9.19921875" style="136"/>
    <col min="12005" max="12005" width="9.69921875" style="136" customWidth="1"/>
    <col min="12006" max="12006" width="11.3984375" style="136" bestFit="1" customWidth="1"/>
    <col min="12007" max="12017" width="9.19921875" style="136"/>
    <col min="12018" max="12018" width="7.59765625" style="136" bestFit="1" customWidth="1"/>
    <col min="12019" max="12021" width="9.19921875" style="136"/>
    <col min="12022" max="12022" width="9.19921875" style="136" customWidth="1"/>
    <col min="12023" max="12023" width="9.19921875" style="136"/>
    <col min="12024" max="12024" width="8.3984375" style="136" customWidth="1"/>
    <col min="12025" max="12025" width="9.19921875" style="136"/>
    <col min="12026" max="12033" width="7.8984375" style="136" bestFit="1" customWidth="1"/>
    <col min="12034" max="12036" width="8.69921875" style="136" bestFit="1" customWidth="1"/>
    <col min="12037" max="12258" width="9.19921875" style="136"/>
    <col min="12259" max="12259" width="13.3984375" style="136" customWidth="1"/>
    <col min="12260" max="12260" width="9.19921875" style="136"/>
    <col min="12261" max="12261" width="9.69921875" style="136" customWidth="1"/>
    <col min="12262" max="12262" width="11.3984375" style="136" bestFit="1" customWidth="1"/>
    <col min="12263" max="12273" width="9.19921875" style="136"/>
    <col min="12274" max="12274" width="7.59765625" style="136" bestFit="1" customWidth="1"/>
    <col min="12275" max="12277" width="9.19921875" style="136"/>
    <col min="12278" max="12278" width="9.19921875" style="136" customWidth="1"/>
    <col min="12279" max="12279" width="9.19921875" style="136"/>
    <col min="12280" max="12280" width="8.3984375" style="136" customWidth="1"/>
    <col min="12281" max="12281" width="9.19921875" style="136"/>
    <col min="12282" max="12289" width="7.8984375" style="136" bestFit="1" customWidth="1"/>
    <col min="12290" max="12292" width="8.69921875" style="136" bestFit="1" customWidth="1"/>
    <col min="12293" max="12514" width="9.19921875" style="136"/>
    <col min="12515" max="12515" width="13.3984375" style="136" customWidth="1"/>
    <col min="12516" max="12516" width="9.19921875" style="136"/>
    <col min="12517" max="12517" width="9.69921875" style="136" customWidth="1"/>
    <col min="12518" max="12518" width="11.3984375" style="136" bestFit="1" customWidth="1"/>
    <col min="12519" max="12529" width="9.19921875" style="136"/>
    <col min="12530" max="12530" width="7.59765625" style="136" bestFit="1" customWidth="1"/>
    <col min="12531" max="12533" width="9.19921875" style="136"/>
    <col min="12534" max="12534" width="9.19921875" style="136" customWidth="1"/>
    <col min="12535" max="12535" width="9.19921875" style="136"/>
    <col min="12536" max="12536" width="8.3984375" style="136" customWidth="1"/>
    <col min="12537" max="12537" width="9.19921875" style="136"/>
    <col min="12538" max="12545" width="7.8984375" style="136" bestFit="1" customWidth="1"/>
    <col min="12546" max="12548" width="8.69921875" style="136" bestFit="1" customWidth="1"/>
    <col min="12549" max="12770" width="9.19921875" style="136"/>
    <col min="12771" max="12771" width="13.3984375" style="136" customWidth="1"/>
    <col min="12772" max="12772" width="9.19921875" style="136"/>
    <col min="12773" max="12773" width="9.69921875" style="136" customWidth="1"/>
    <col min="12774" max="12774" width="11.3984375" style="136" bestFit="1" customWidth="1"/>
    <col min="12775" max="12785" width="9.19921875" style="136"/>
    <col min="12786" max="12786" width="7.59765625" style="136" bestFit="1" customWidth="1"/>
    <col min="12787" max="12789" width="9.19921875" style="136"/>
    <col min="12790" max="12790" width="9.19921875" style="136" customWidth="1"/>
    <col min="12791" max="12791" width="9.19921875" style="136"/>
    <col min="12792" max="12792" width="8.3984375" style="136" customWidth="1"/>
    <col min="12793" max="12793" width="9.19921875" style="136"/>
    <col min="12794" max="12801" width="7.8984375" style="136" bestFit="1" customWidth="1"/>
    <col min="12802" max="12804" width="8.69921875" style="136" bestFit="1" customWidth="1"/>
    <col min="12805" max="13026" width="9.19921875" style="136"/>
    <col min="13027" max="13027" width="13.3984375" style="136" customWidth="1"/>
    <col min="13028" max="13028" width="9.19921875" style="136"/>
    <col min="13029" max="13029" width="9.69921875" style="136" customWidth="1"/>
    <col min="13030" max="13030" width="11.3984375" style="136" bestFit="1" customWidth="1"/>
    <col min="13031" max="13041" width="9.19921875" style="136"/>
    <col min="13042" max="13042" width="7.59765625" style="136" bestFit="1" customWidth="1"/>
    <col min="13043" max="13045" width="9.19921875" style="136"/>
    <col min="13046" max="13046" width="9.19921875" style="136" customWidth="1"/>
    <col min="13047" max="13047" width="9.19921875" style="136"/>
    <col min="13048" max="13048" width="8.3984375" style="136" customWidth="1"/>
    <col min="13049" max="13049" width="9.19921875" style="136"/>
    <col min="13050" max="13057" width="7.8984375" style="136" bestFit="1" customWidth="1"/>
    <col min="13058" max="13060" width="8.69921875" style="136" bestFit="1" customWidth="1"/>
    <col min="13061" max="13282" width="9.19921875" style="136"/>
    <col min="13283" max="13283" width="13.3984375" style="136" customWidth="1"/>
    <col min="13284" max="13284" width="9.19921875" style="136"/>
    <col min="13285" max="13285" width="9.69921875" style="136" customWidth="1"/>
    <col min="13286" max="13286" width="11.3984375" style="136" bestFit="1" customWidth="1"/>
    <col min="13287" max="13297" width="9.19921875" style="136"/>
    <col min="13298" max="13298" width="7.59765625" style="136" bestFit="1" customWidth="1"/>
    <col min="13299" max="13301" width="9.19921875" style="136"/>
    <col min="13302" max="13302" width="9.19921875" style="136" customWidth="1"/>
    <col min="13303" max="13303" width="9.19921875" style="136"/>
    <col min="13304" max="13304" width="8.3984375" style="136" customWidth="1"/>
    <col min="13305" max="13305" width="9.19921875" style="136"/>
    <col min="13306" max="13313" width="7.8984375" style="136" bestFit="1" customWidth="1"/>
    <col min="13314" max="13316" width="8.69921875" style="136" bestFit="1" customWidth="1"/>
    <col min="13317" max="13538" width="9.19921875" style="136"/>
    <col min="13539" max="13539" width="13.3984375" style="136" customWidth="1"/>
    <col min="13540" max="13540" width="9.19921875" style="136"/>
    <col min="13541" max="13541" width="9.69921875" style="136" customWidth="1"/>
    <col min="13542" max="13542" width="11.3984375" style="136" bestFit="1" customWidth="1"/>
    <col min="13543" max="13553" width="9.19921875" style="136"/>
    <col min="13554" max="13554" width="7.59765625" style="136" bestFit="1" customWidth="1"/>
    <col min="13555" max="13557" width="9.19921875" style="136"/>
    <col min="13558" max="13558" width="9.19921875" style="136" customWidth="1"/>
    <col min="13559" max="13559" width="9.19921875" style="136"/>
    <col min="13560" max="13560" width="8.3984375" style="136" customWidth="1"/>
    <col min="13561" max="13561" width="9.19921875" style="136"/>
    <col min="13562" max="13569" width="7.8984375" style="136" bestFit="1" customWidth="1"/>
    <col min="13570" max="13572" width="8.69921875" style="136" bestFit="1" customWidth="1"/>
    <col min="13573" max="13794" width="9.19921875" style="136"/>
    <col min="13795" max="13795" width="13.3984375" style="136" customWidth="1"/>
    <col min="13796" max="13796" width="9.19921875" style="136"/>
    <col min="13797" max="13797" width="9.69921875" style="136" customWidth="1"/>
    <col min="13798" max="13798" width="11.3984375" style="136" bestFit="1" customWidth="1"/>
    <col min="13799" max="13809" width="9.19921875" style="136"/>
    <col min="13810" max="13810" width="7.59765625" style="136" bestFit="1" customWidth="1"/>
    <col min="13811" max="13813" width="9.19921875" style="136"/>
    <col min="13814" max="13814" width="9.19921875" style="136" customWidth="1"/>
    <col min="13815" max="13815" width="9.19921875" style="136"/>
    <col min="13816" max="13816" width="8.3984375" style="136" customWidth="1"/>
    <col min="13817" max="13817" width="9.19921875" style="136"/>
    <col min="13818" max="13825" width="7.8984375" style="136" bestFit="1" customWidth="1"/>
    <col min="13826" max="13828" width="8.69921875" style="136" bestFit="1" customWidth="1"/>
    <col min="13829" max="14050" width="9.19921875" style="136"/>
    <col min="14051" max="14051" width="13.3984375" style="136" customWidth="1"/>
    <col min="14052" max="14052" width="9.19921875" style="136"/>
    <col min="14053" max="14053" width="9.69921875" style="136" customWidth="1"/>
    <col min="14054" max="14054" width="11.3984375" style="136" bestFit="1" customWidth="1"/>
    <col min="14055" max="14065" width="9.19921875" style="136"/>
    <col min="14066" max="14066" width="7.59765625" style="136" bestFit="1" customWidth="1"/>
    <col min="14067" max="14069" width="9.19921875" style="136"/>
    <col min="14070" max="14070" width="9.19921875" style="136" customWidth="1"/>
    <col min="14071" max="14071" width="9.19921875" style="136"/>
    <col min="14072" max="14072" width="8.3984375" style="136" customWidth="1"/>
    <col min="14073" max="14073" width="9.19921875" style="136"/>
    <col min="14074" max="14081" width="7.8984375" style="136" bestFit="1" customWidth="1"/>
    <col min="14082" max="14084" width="8.69921875" style="136" bestFit="1" customWidth="1"/>
    <col min="14085" max="14306" width="9.19921875" style="136"/>
    <col min="14307" max="14307" width="13.3984375" style="136" customWidth="1"/>
    <col min="14308" max="14308" width="9.19921875" style="136"/>
    <col min="14309" max="14309" width="9.69921875" style="136" customWidth="1"/>
    <col min="14310" max="14310" width="11.3984375" style="136" bestFit="1" customWidth="1"/>
    <col min="14311" max="14321" width="9.19921875" style="136"/>
    <col min="14322" max="14322" width="7.59765625" style="136" bestFit="1" customWidth="1"/>
    <col min="14323" max="14325" width="9.19921875" style="136"/>
    <col min="14326" max="14326" width="9.19921875" style="136" customWidth="1"/>
    <col min="14327" max="14327" width="9.19921875" style="136"/>
    <col min="14328" max="14328" width="8.3984375" style="136" customWidth="1"/>
    <col min="14329" max="14329" width="9.19921875" style="136"/>
    <col min="14330" max="14337" width="7.8984375" style="136" bestFit="1" customWidth="1"/>
    <col min="14338" max="14340" width="8.69921875" style="136" bestFit="1" customWidth="1"/>
    <col min="14341" max="14562" width="9.19921875" style="136"/>
    <col min="14563" max="14563" width="13.3984375" style="136" customWidth="1"/>
    <col min="14564" max="14564" width="9.19921875" style="136"/>
    <col min="14565" max="14565" width="9.69921875" style="136" customWidth="1"/>
    <col min="14566" max="14566" width="11.3984375" style="136" bestFit="1" customWidth="1"/>
    <col min="14567" max="14577" width="9.19921875" style="136"/>
    <col min="14578" max="14578" width="7.59765625" style="136" bestFit="1" customWidth="1"/>
    <col min="14579" max="14581" width="9.19921875" style="136"/>
    <col min="14582" max="14582" width="9.19921875" style="136" customWidth="1"/>
    <col min="14583" max="14583" width="9.19921875" style="136"/>
    <col min="14584" max="14584" width="8.3984375" style="136" customWidth="1"/>
    <col min="14585" max="14585" width="9.19921875" style="136"/>
    <col min="14586" max="14593" width="7.8984375" style="136" bestFit="1" customWidth="1"/>
    <col min="14594" max="14596" width="8.69921875" style="136" bestFit="1" customWidth="1"/>
    <col min="14597" max="14818" width="9.19921875" style="136"/>
    <col min="14819" max="14819" width="13.3984375" style="136" customWidth="1"/>
    <col min="14820" max="14820" width="9.19921875" style="136"/>
    <col min="14821" max="14821" width="9.69921875" style="136" customWidth="1"/>
    <col min="14822" max="14822" width="11.3984375" style="136" bestFit="1" customWidth="1"/>
    <col min="14823" max="14833" width="9.19921875" style="136"/>
    <col min="14834" max="14834" width="7.59765625" style="136" bestFit="1" customWidth="1"/>
    <col min="14835" max="14837" width="9.19921875" style="136"/>
    <col min="14838" max="14838" width="9.19921875" style="136" customWidth="1"/>
    <col min="14839" max="14839" width="9.19921875" style="136"/>
    <col min="14840" max="14840" width="8.3984375" style="136" customWidth="1"/>
    <col min="14841" max="14841" width="9.19921875" style="136"/>
    <col min="14842" max="14849" width="7.8984375" style="136" bestFit="1" customWidth="1"/>
    <col min="14850" max="14852" width="8.69921875" style="136" bestFit="1" customWidth="1"/>
    <col min="14853" max="15074" width="9.19921875" style="136"/>
    <col min="15075" max="15075" width="13.3984375" style="136" customWidth="1"/>
    <col min="15076" max="15076" width="9.19921875" style="136"/>
    <col min="15077" max="15077" width="9.69921875" style="136" customWidth="1"/>
    <col min="15078" max="15078" width="11.3984375" style="136" bestFit="1" customWidth="1"/>
    <col min="15079" max="15089" width="9.19921875" style="136"/>
    <col min="15090" max="15090" width="7.59765625" style="136" bestFit="1" customWidth="1"/>
    <col min="15091" max="15093" width="9.19921875" style="136"/>
    <col min="15094" max="15094" width="9.19921875" style="136" customWidth="1"/>
    <col min="15095" max="15095" width="9.19921875" style="136"/>
    <col min="15096" max="15096" width="8.3984375" style="136" customWidth="1"/>
    <col min="15097" max="15097" width="9.19921875" style="136"/>
    <col min="15098" max="15105" width="7.8984375" style="136" bestFit="1" customWidth="1"/>
    <col min="15106" max="15108" width="8.69921875" style="136" bestFit="1" customWidth="1"/>
    <col min="15109" max="15330" width="9.19921875" style="136"/>
    <col min="15331" max="15331" width="13.3984375" style="136" customWidth="1"/>
    <col min="15332" max="15332" width="9.19921875" style="136"/>
    <col min="15333" max="15333" width="9.69921875" style="136" customWidth="1"/>
    <col min="15334" max="15334" width="11.3984375" style="136" bestFit="1" customWidth="1"/>
    <col min="15335" max="15345" width="9.19921875" style="136"/>
    <col min="15346" max="15346" width="7.59765625" style="136" bestFit="1" customWidth="1"/>
    <col min="15347" max="15349" width="9.19921875" style="136"/>
    <col min="15350" max="15350" width="9.19921875" style="136" customWidth="1"/>
    <col min="15351" max="15351" width="9.19921875" style="136"/>
    <col min="15352" max="15352" width="8.3984375" style="136" customWidth="1"/>
    <col min="15353" max="15353" width="9.19921875" style="136"/>
    <col min="15354" max="15361" width="7.8984375" style="136" bestFit="1" customWidth="1"/>
    <col min="15362" max="15364" width="8.69921875" style="136" bestFit="1" customWidth="1"/>
    <col min="15365" max="15586" width="9.19921875" style="136"/>
    <col min="15587" max="15587" width="13.3984375" style="136" customWidth="1"/>
    <col min="15588" max="15588" width="9.19921875" style="136"/>
    <col min="15589" max="15589" width="9.69921875" style="136" customWidth="1"/>
    <col min="15590" max="15590" width="11.3984375" style="136" bestFit="1" customWidth="1"/>
    <col min="15591" max="15601" width="9.19921875" style="136"/>
    <col min="15602" max="15602" width="7.59765625" style="136" bestFit="1" customWidth="1"/>
    <col min="15603" max="15605" width="9.19921875" style="136"/>
    <col min="15606" max="15606" width="9.19921875" style="136" customWidth="1"/>
    <col min="15607" max="15607" width="9.19921875" style="136"/>
    <col min="15608" max="15608" width="8.3984375" style="136" customWidth="1"/>
    <col min="15609" max="15609" width="9.19921875" style="136"/>
    <col min="15610" max="15617" width="7.8984375" style="136" bestFit="1" customWidth="1"/>
    <col min="15618" max="15620" width="8.69921875" style="136" bestFit="1" customWidth="1"/>
    <col min="15621" max="15842" width="9.19921875" style="136"/>
    <col min="15843" max="15843" width="13.3984375" style="136" customWidth="1"/>
    <col min="15844" max="15844" width="9.19921875" style="136"/>
    <col min="15845" max="15845" width="9.69921875" style="136" customWidth="1"/>
    <col min="15846" max="15846" width="11.3984375" style="136" bestFit="1" customWidth="1"/>
    <col min="15847" max="15857" width="9.19921875" style="136"/>
    <col min="15858" max="15858" width="7.59765625" style="136" bestFit="1" customWidth="1"/>
    <col min="15859" max="15861" width="9.19921875" style="136"/>
    <col min="15862" max="15862" width="9.19921875" style="136" customWidth="1"/>
    <col min="15863" max="15863" width="9.19921875" style="136"/>
    <col min="15864" max="15864" width="8.3984375" style="136" customWidth="1"/>
    <col min="15865" max="15865" width="9.19921875" style="136"/>
    <col min="15866" max="15873" width="7.8984375" style="136" bestFit="1" customWidth="1"/>
    <col min="15874" max="15876" width="8.69921875" style="136" bestFit="1" customWidth="1"/>
    <col min="15877" max="16098" width="9.19921875" style="136"/>
    <col min="16099" max="16099" width="13.3984375" style="136" customWidth="1"/>
    <col min="16100" max="16100" width="9.19921875" style="136"/>
    <col min="16101" max="16101" width="9.69921875" style="136" customWidth="1"/>
    <col min="16102" max="16102" width="11.3984375" style="136" bestFit="1" customWidth="1"/>
    <col min="16103" max="16113" width="9.19921875" style="136"/>
    <col min="16114" max="16114" width="7.59765625" style="136" bestFit="1" customWidth="1"/>
    <col min="16115" max="16117" width="9.19921875" style="136"/>
    <col min="16118" max="16118" width="9.19921875" style="136" customWidth="1"/>
    <col min="16119" max="16119" width="9.19921875" style="136"/>
    <col min="16120" max="16120" width="8.3984375" style="136" customWidth="1"/>
    <col min="16121" max="16121" width="9.19921875" style="136"/>
    <col min="16122" max="16129" width="7.8984375" style="136" bestFit="1" customWidth="1"/>
    <col min="16130" max="16132" width="8.69921875" style="136" bestFit="1" customWidth="1"/>
    <col min="16133" max="16384" width="9.19921875" style="136"/>
  </cols>
  <sheetData>
    <row r="1" spans="1:18" ht="33.75" customHeight="1">
      <c r="A1" s="135" t="s">
        <v>141</v>
      </c>
      <c r="G1" s="138"/>
    </row>
    <row r="2" spans="1:18" s="140" customFormat="1" ht="21">
      <c r="A2" s="139"/>
      <c r="C2" s="271" t="s">
        <v>194</v>
      </c>
      <c r="D2" s="141">
        <v>1</v>
      </c>
      <c r="E2" s="141">
        <f t="shared" ref="E2:L2" si="0">+IF(D2=12,1,D2+1)</f>
        <v>2</v>
      </c>
      <c r="F2" s="141">
        <f t="shared" si="0"/>
        <v>3</v>
      </c>
      <c r="G2" s="141">
        <f t="shared" si="0"/>
        <v>4</v>
      </c>
      <c r="H2" s="141">
        <f t="shared" si="0"/>
        <v>5</v>
      </c>
      <c r="I2" s="141">
        <f t="shared" si="0"/>
        <v>6</v>
      </c>
      <c r="J2" s="141">
        <f t="shared" si="0"/>
        <v>7</v>
      </c>
      <c r="K2" s="141">
        <f t="shared" si="0"/>
        <v>8</v>
      </c>
      <c r="L2" s="141">
        <f t="shared" si="0"/>
        <v>9</v>
      </c>
      <c r="M2" s="141">
        <f t="shared" ref="M2:O2" si="1">+IF(L2=12,1,L2+1)</f>
        <v>10</v>
      </c>
      <c r="N2" s="141">
        <f t="shared" si="1"/>
        <v>11</v>
      </c>
      <c r="O2" s="141">
        <f t="shared" si="1"/>
        <v>12</v>
      </c>
      <c r="P2" s="142"/>
    </row>
    <row r="3" spans="1:18">
      <c r="A3" s="143" t="s">
        <v>138</v>
      </c>
      <c r="B3" s="143"/>
      <c r="C3" s="143"/>
      <c r="D3" s="166">
        <v>100</v>
      </c>
      <c r="E3" s="166">
        <v>100</v>
      </c>
      <c r="F3" s="166">
        <v>100</v>
      </c>
      <c r="G3" s="166">
        <v>100</v>
      </c>
      <c r="H3" s="166">
        <v>100</v>
      </c>
      <c r="I3" s="166">
        <v>100</v>
      </c>
      <c r="J3" s="166">
        <v>100</v>
      </c>
      <c r="K3" s="166">
        <v>100</v>
      </c>
      <c r="L3" s="166">
        <v>100</v>
      </c>
      <c r="M3" s="166">
        <v>100</v>
      </c>
      <c r="N3" s="166">
        <v>100</v>
      </c>
      <c r="O3" s="166">
        <v>100</v>
      </c>
      <c r="P3" s="137">
        <f>SUM(D3:O3)</f>
        <v>1200</v>
      </c>
      <c r="Q3" s="275">
        <f>SUM(D3:O3)</f>
        <v>1200</v>
      </c>
    </row>
    <row r="4" spans="1:18" s="228" customFormat="1">
      <c r="A4" s="347" t="s">
        <v>118</v>
      </c>
      <c r="B4" s="393"/>
      <c r="C4" s="393"/>
      <c r="D4" s="394">
        <f>$P$4/$P$3*D3</f>
        <v>1029.5999999999999</v>
      </c>
      <c r="E4" s="394">
        <f t="shared" ref="E4:O4" si="2">$P$4/$P$3*E3</f>
        <v>1029.5999999999999</v>
      </c>
      <c r="F4" s="394">
        <f t="shared" si="2"/>
        <v>1029.5999999999999</v>
      </c>
      <c r="G4" s="394">
        <f t="shared" si="2"/>
        <v>1029.5999999999999</v>
      </c>
      <c r="H4" s="394">
        <f t="shared" si="2"/>
        <v>1029.5999999999999</v>
      </c>
      <c r="I4" s="394">
        <f t="shared" si="2"/>
        <v>1029.5999999999999</v>
      </c>
      <c r="J4" s="394">
        <f t="shared" si="2"/>
        <v>1029.5999999999999</v>
      </c>
      <c r="K4" s="394">
        <f t="shared" si="2"/>
        <v>1029.5999999999999</v>
      </c>
      <c r="L4" s="394">
        <f t="shared" si="2"/>
        <v>1029.5999999999999</v>
      </c>
      <c r="M4" s="394">
        <f t="shared" si="2"/>
        <v>1029.5999999999999</v>
      </c>
      <c r="N4" s="394">
        <f t="shared" si="2"/>
        <v>1029.5999999999999</v>
      </c>
      <c r="O4" s="394">
        <f t="shared" si="2"/>
        <v>1029.5999999999999</v>
      </c>
      <c r="P4" s="332">
        <f>+⑥シミュレーション!E19</f>
        <v>12355.199999999999</v>
      </c>
      <c r="Q4" s="259">
        <f>SUM(D4:O4)</f>
        <v>12355.200000000003</v>
      </c>
    </row>
    <row r="5" spans="1:18">
      <c r="A5" s="143"/>
      <c r="B5" s="165">
        <v>0.7</v>
      </c>
      <c r="C5" s="146" t="s">
        <v>119</v>
      </c>
      <c r="D5" s="144">
        <f t="shared" ref="D5:O5" si="3">+ROUND(D4*$B$5,0)</f>
        <v>721</v>
      </c>
      <c r="E5" s="144">
        <f t="shared" si="3"/>
        <v>721</v>
      </c>
      <c r="F5" s="144">
        <f t="shared" si="3"/>
        <v>721</v>
      </c>
      <c r="G5" s="144">
        <f t="shared" si="3"/>
        <v>721</v>
      </c>
      <c r="H5" s="144">
        <f t="shared" si="3"/>
        <v>721</v>
      </c>
      <c r="I5" s="144">
        <f t="shared" si="3"/>
        <v>721</v>
      </c>
      <c r="J5" s="144">
        <f t="shared" si="3"/>
        <v>721</v>
      </c>
      <c r="K5" s="144">
        <f t="shared" si="3"/>
        <v>721</v>
      </c>
      <c r="L5" s="144">
        <f t="shared" si="3"/>
        <v>721</v>
      </c>
      <c r="M5" s="144">
        <f t="shared" si="3"/>
        <v>721</v>
      </c>
      <c r="N5" s="144">
        <f t="shared" si="3"/>
        <v>721</v>
      </c>
      <c r="O5" s="144">
        <f t="shared" si="3"/>
        <v>721</v>
      </c>
      <c r="P5" s="137">
        <f t="shared" ref="P5:P40" si="4">SUM(D5:O5)</f>
        <v>8652</v>
      </c>
      <c r="Q5" s="259"/>
    </row>
    <row r="6" spans="1:18">
      <c r="A6" s="143"/>
      <c r="B6" s="229">
        <f>1-B5</f>
        <v>0.30000000000000004</v>
      </c>
      <c r="C6" s="146" t="s">
        <v>120</v>
      </c>
      <c r="D6" s="144">
        <f t="shared" ref="D6:O6" si="5">+D4-D5</f>
        <v>308.59999999999991</v>
      </c>
      <c r="E6" s="144">
        <f t="shared" si="5"/>
        <v>308.59999999999991</v>
      </c>
      <c r="F6" s="144">
        <f t="shared" si="5"/>
        <v>308.59999999999991</v>
      </c>
      <c r="G6" s="144">
        <f t="shared" si="5"/>
        <v>308.59999999999991</v>
      </c>
      <c r="H6" s="144">
        <f t="shared" si="5"/>
        <v>308.59999999999991</v>
      </c>
      <c r="I6" s="144">
        <f t="shared" si="5"/>
        <v>308.59999999999991</v>
      </c>
      <c r="J6" s="144">
        <f t="shared" si="5"/>
        <v>308.59999999999991</v>
      </c>
      <c r="K6" s="144">
        <f t="shared" si="5"/>
        <v>308.59999999999991</v>
      </c>
      <c r="L6" s="144">
        <f t="shared" si="5"/>
        <v>308.59999999999991</v>
      </c>
      <c r="M6" s="144">
        <f t="shared" si="5"/>
        <v>308.59999999999991</v>
      </c>
      <c r="N6" s="144">
        <f t="shared" si="5"/>
        <v>308.59999999999991</v>
      </c>
      <c r="O6" s="144">
        <f t="shared" si="5"/>
        <v>308.59999999999991</v>
      </c>
      <c r="P6" s="137">
        <f t="shared" si="4"/>
        <v>3703.1999999999989</v>
      </c>
      <c r="Q6" s="259"/>
    </row>
    <row r="7" spans="1:18">
      <c r="A7" s="148" t="s">
        <v>121</v>
      </c>
      <c r="B7" s="145"/>
      <c r="C7" s="164">
        <v>1</v>
      </c>
      <c r="D7" s="144">
        <f t="shared" ref="D7" si="6">IF($C$7=2,0,IF($C$7=3,0,IF($C$7=1,0)))</f>
        <v>0</v>
      </c>
      <c r="E7" s="144">
        <f>IF($C$7=2,0,IF($C$7=3,0,IF($C$7=1,$D$6)))</f>
        <v>308.59999999999991</v>
      </c>
      <c r="F7" s="144">
        <f>IF($C$7=1,+$E$6,IF($C$7=2,$D$6,IF($C$7=3,0)))</f>
        <v>308.59999999999991</v>
      </c>
      <c r="G7" s="144">
        <f>IF($C$7=1,+$F$6,IF($C$7=2,$E$6,IF($C$7=3,$D$6)))</f>
        <v>308.59999999999991</v>
      </c>
      <c r="H7" s="144">
        <f>IF($C$7=1,+$G$6,IF($C$7=2,$F$6,IF($C$7=3,$E$6)))</f>
        <v>308.59999999999991</v>
      </c>
      <c r="I7" s="144">
        <f>IF($C$7=1,+$H$6,IF($C$7=2,$G$6,IF($C$7=3,$F$6)))</f>
        <v>308.59999999999991</v>
      </c>
      <c r="J7" s="144">
        <f>IF($C$7=1,+$I$6,IF($C$7=2,$H$6,IF($C$7=3,$G$6)))</f>
        <v>308.59999999999991</v>
      </c>
      <c r="K7" s="144">
        <f>IF(C7=1,+$J$6,IF(C7=2,$I$6,IF(C7=3,$H$6)))</f>
        <v>308.59999999999991</v>
      </c>
      <c r="L7" s="144">
        <f>IF(C7=1,+$K$6,IF(C7=2,$J$6,IF(C7=3,$I$6)))</f>
        <v>308.59999999999991</v>
      </c>
      <c r="M7" s="144">
        <f>IF(C7=1,+$L$6,IF(C7=2,$K$6,IF(C7=3,$J$6)))</f>
        <v>308.59999999999991</v>
      </c>
      <c r="N7" s="144">
        <f>IF(C7=1,+$M$6,IF(C7=2,$L$6,IF(C7=3,$K$6)))</f>
        <v>308.59999999999991</v>
      </c>
      <c r="O7" s="144">
        <f>IF(C7=1,+$N$6,IF(C7=2,$M$6,IF(C7=3,L6)))</f>
        <v>308.59999999999991</v>
      </c>
      <c r="P7" s="137">
        <f t="shared" si="4"/>
        <v>3394.599999999999</v>
      </c>
      <c r="Q7" s="265">
        <f>+P6-P7</f>
        <v>308.59999999999991</v>
      </c>
      <c r="R7" s="136" t="s">
        <v>291</v>
      </c>
    </row>
    <row r="8" spans="1:18" s="228" customFormat="1">
      <c r="A8" s="347" t="s">
        <v>52</v>
      </c>
      <c r="B8" s="395"/>
      <c r="C8" s="396"/>
      <c r="D8" s="394">
        <f>$P$8/$P$3*D$3</f>
        <v>571.29599999999994</v>
      </c>
      <c r="E8" s="394">
        <f>$P$8/$P$3*E$3</f>
        <v>571.29599999999994</v>
      </c>
      <c r="F8" s="394">
        <f t="shared" ref="F8:O8" si="7">$P$8/$P$3*F$3</f>
        <v>571.29599999999994</v>
      </c>
      <c r="G8" s="394">
        <f t="shared" si="7"/>
        <v>571.29599999999994</v>
      </c>
      <c r="H8" s="394">
        <f t="shared" si="7"/>
        <v>571.29599999999994</v>
      </c>
      <c r="I8" s="394">
        <f t="shared" si="7"/>
        <v>571.29599999999994</v>
      </c>
      <c r="J8" s="394">
        <f t="shared" si="7"/>
        <v>571.29599999999994</v>
      </c>
      <c r="K8" s="394">
        <f t="shared" si="7"/>
        <v>571.29599999999994</v>
      </c>
      <c r="L8" s="394">
        <f t="shared" si="7"/>
        <v>571.29599999999994</v>
      </c>
      <c r="M8" s="394">
        <f t="shared" si="7"/>
        <v>571.29599999999994</v>
      </c>
      <c r="N8" s="394">
        <f t="shared" si="7"/>
        <v>571.29599999999994</v>
      </c>
      <c r="O8" s="394">
        <f t="shared" si="7"/>
        <v>571.29599999999994</v>
      </c>
      <c r="P8" s="332">
        <f>⑥シミュレーション!E31</f>
        <v>6855.5519999999997</v>
      </c>
      <c r="Q8" s="259">
        <f t="shared" ref="Q8:Q12" si="8">SUM(D8:O8)</f>
        <v>6855.5520000000006</v>
      </c>
    </row>
    <row r="9" spans="1:18">
      <c r="A9" s="143"/>
      <c r="B9" s="165">
        <v>0.1</v>
      </c>
      <c r="C9" s="150" t="s">
        <v>119</v>
      </c>
      <c r="D9" s="144">
        <f t="shared" ref="D9:O9" si="9">+ROUND(D8*$B$9,0)</f>
        <v>57</v>
      </c>
      <c r="E9" s="144">
        <f t="shared" si="9"/>
        <v>57</v>
      </c>
      <c r="F9" s="144">
        <f t="shared" si="9"/>
        <v>57</v>
      </c>
      <c r="G9" s="144">
        <f t="shared" si="9"/>
        <v>57</v>
      </c>
      <c r="H9" s="144">
        <f t="shared" si="9"/>
        <v>57</v>
      </c>
      <c r="I9" s="144">
        <f t="shared" si="9"/>
        <v>57</v>
      </c>
      <c r="J9" s="144">
        <f t="shared" si="9"/>
        <v>57</v>
      </c>
      <c r="K9" s="144">
        <f t="shared" si="9"/>
        <v>57</v>
      </c>
      <c r="L9" s="144">
        <f t="shared" si="9"/>
        <v>57</v>
      </c>
      <c r="M9" s="144">
        <f t="shared" si="9"/>
        <v>57</v>
      </c>
      <c r="N9" s="144">
        <f t="shared" si="9"/>
        <v>57</v>
      </c>
      <c r="O9" s="144">
        <f t="shared" si="9"/>
        <v>57</v>
      </c>
      <c r="P9" s="137">
        <f t="shared" si="4"/>
        <v>684</v>
      </c>
      <c r="Q9" s="259"/>
    </row>
    <row r="10" spans="1:18">
      <c r="A10" s="143"/>
      <c r="B10" s="229">
        <f>1-B9</f>
        <v>0.9</v>
      </c>
      <c r="C10" s="150" t="s">
        <v>120</v>
      </c>
      <c r="D10" s="144">
        <f t="shared" ref="D10:O10" si="10">+D8-D9</f>
        <v>514.29599999999994</v>
      </c>
      <c r="E10" s="144">
        <f t="shared" si="10"/>
        <v>514.29599999999994</v>
      </c>
      <c r="F10" s="144">
        <f t="shared" si="10"/>
        <v>514.29599999999994</v>
      </c>
      <c r="G10" s="144">
        <f t="shared" si="10"/>
        <v>514.29599999999994</v>
      </c>
      <c r="H10" s="144">
        <f t="shared" si="10"/>
        <v>514.29599999999994</v>
      </c>
      <c r="I10" s="144">
        <f t="shared" si="10"/>
        <v>514.29599999999994</v>
      </c>
      <c r="J10" s="144">
        <f t="shared" si="10"/>
        <v>514.29599999999994</v>
      </c>
      <c r="K10" s="144">
        <f t="shared" si="10"/>
        <v>514.29599999999994</v>
      </c>
      <c r="L10" s="144">
        <f t="shared" si="10"/>
        <v>514.29599999999994</v>
      </c>
      <c r="M10" s="144">
        <f t="shared" si="10"/>
        <v>514.29599999999994</v>
      </c>
      <c r="N10" s="144">
        <f t="shared" si="10"/>
        <v>514.29599999999994</v>
      </c>
      <c r="O10" s="144">
        <f t="shared" si="10"/>
        <v>514.29599999999994</v>
      </c>
      <c r="P10" s="137">
        <f t="shared" si="4"/>
        <v>6171.5520000000006</v>
      </c>
      <c r="Q10" s="259"/>
    </row>
    <row r="11" spans="1:18" s="228" customFormat="1">
      <c r="A11" s="230" t="s">
        <v>122</v>
      </c>
      <c r="B11" s="229"/>
      <c r="C11" s="164">
        <v>2</v>
      </c>
      <c r="D11" s="232">
        <v>0</v>
      </c>
      <c r="E11" s="233">
        <f>IF(C11=1,+$D$10,IF(C11=2,0,IF(C11=3,0)))</f>
        <v>0</v>
      </c>
      <c r="F11" s="227">
        <f>IF(C11=1,+$E$10,IF(C11=2,$D$10,IF(C11=3,0)))</f>
        <v>514.29599999999994</v>
      </c>
      <c r="G11" s="233">
        <f>IF(C11=1,+$F$10,IF(C11=2,$E$10,IF(C11=3,$D$10)))</f>
        <v>514.29599999999994</v>
      </c>
      <c r="H11" s="233">
        <f>IF(C11=1,+$G$10,IF(C11=2,$F$10,IF(C11=3,$E$10)))</f>
        <v>514.29599999999994</v>
      </c>
      <c r="I11" s="233">
        <f>IF(C11=1,+$H$10,IF(C11=2,$G$10,IF(C11=3,$F$10)))</f>
        <v>514.29599999999994</v>
      </c>
      <c r="J11" s="227">
        <f>IF(C11=1,+$I$10,IF(C11=2,$H$10,IF(C11=3,$G$10)))</f>
        <v>514.29599999999994</v>
      </c>
      <c r="K11" s="233">
        <f>IF(C11=1,+$J$10,IF(C11=2,$I$10,IF(C11=3,$H$10)))</f>
        <v>514.29599999999994</v>
      </c>
      <c r="L11" s="227">
        <f>IF(C11=1,+$K$10,IF(C11=2,$J$10,IF(C11=3,$I$10)))</f>
        <v>514.29599999999994</v>
      </c>
      <c r="M11" s="227">
        <f>IF(C11=1,+$L$10,IF(C11=2,$K$10,IF(C11=3,$J$10)))</f>
        <v>514.29599999999994</v>
      </c>
      <c r="N11" s="227">
        <f>IF(C11=1,+$M$10,IF(C11=2,$L$10,IF(C11=3,$K$10)))</f>
        <v>514.29599999999994</v>
      </c>
      <c r="O11" s="227">
        <f>IF(C11=1,+$N$10,IF(C11=2,$M$10,IF(C11=3,L10)))</f>
        <v>514.29599999999994</v>
      </c>
      <c r="P11" s="137">
        <f t="shared" si="4"/>
        <v>5142.96</v>
      </c>
      <c r="Q11" s="265">
        <f>+P10-P11</f>
        <v>1028.5920000000006</v>
      </c>
      <c r="R11" s="228" t="s">
        <v>292</v>
      </c>
    </row>
    <row r="12" spans="1:18">
      <c r="A12" s="356" t="s">
        <v>198</v>
      </c>
      <c r="B12" s="395"/>
      <c r="C12" s="397"/>
      <c r="D12" s="394">
        <f>$P$12/12</f>
        <v>545.5</v>
      </c>
      <c r="E12" s="394">
        <f>$P$12/12</f>
        <v>545.5</v>
      </c>
      <c r="F12" s="394">
        <f t="shared" ref="F12:O12" si="11">$P$12/12</f>
        <v>545.5</v>
      </c>
      <c r="G12" s="394">
        <f t="shared" si="11"/>
        <v>545.5</v>
      </c>
      <c r="H12" s="394">
        <f t="shared" si="11"/>
        <v>545.5</v>
      </c>
      <c r="I12" s="394">
        <f t="shared" si="11"/>
        <v>545.5</v>
      </c>
      <c r="J12" s="394">
        <f t="shared" si="11"/>
        <v>545.5</v>
      </c>
      <c r="K12" s="394">
        <f t="shared" si="11"/>
        <v>545.5</v>
      </c>
      <c r="L12" s="394">
        <f t="shared" si="11"/>
        <v>545.5</v>
      </c>
      <c r="M12" s="394">
        <f t="shared" si="11"/>
        <v>545.5</v>
      </c>
      <c r="N12" s="394">
        <f t="shared" si="11"/>
        <v>545.5</v>
      </c>
      <c r="O12" s="394">
        <f t="shared" si="11"/>
        <v>545.5</v>
      </c>
      <c r="P12" s="332">
        <f>+⑥シミュレーション!E46-⑥シミュレーション!E36</f>
        <v>6546</v>
      </c>
      <c r="Q12" s="259">
        <f t="shared" si="8"/>
        <v>6546</v>
      </c>
    </row>
    <row r="13" spans="1:18">
      <c r="B13" s="153"/>
      <c r="C13" s="154"/>
      <c r="D13" s="151"/>
      <c r="E13" s="151"/>
      <c r="F13" s="151"/>
      <c r="G13" s="151"/>
      <c r="H13" s="151"/>
      <c r="I13" s="151"/>
      <c r="J13" s="151"/>
      <c r="K13" s="151"/>
      <c r="L13" s="151"/>
      <c r="M13" s="151"/>
      <c r="N13" s="151"/>
      <c r="O13" s="151"/>
    </row>
    <row r="14" spans="1:18" ht="20.25" customHeight="1">
      <c r="A14" s="155" t="s">
        <v>123</v>
      </c>
      <c r="D14" s="151"/>
      <c r="E14" s="151"/>
      <c r="F14" s="151"/>
      <c r="G14" s="151"/>
      <c r="H14" s="151"/>
      <c r="I14" s="151"/>
      <c r="J14" s="151"/>
      <c r="K14" s="151"/>
    </row>
    <row r="15" spans="1:18">
      <c r="A15" s="143" t="s">
        <v>124</v>
      </c>
      <c r="B15" s="484"/>
      <c r="C15" s="143" t="s">
        <v>288</v>
      </c>
      <c r="D15" s="398">
        <f>+⑥シミュレーション!E57</f>
        <v>2000</v>
      </c>
      <c r="E15" s="147">
        <f>+D42</f>
        <v>1110.3092288659791</v>
      </c>
      <c r="F15" s="147">
        <f t="shared" ref="F15:O15" si="12">+E42</f>
        <v>1522.976228865979</v>
      </c>
      <c r="G15" s="147">
        <f t="shared" si="12"/>
        <v>1419.8002288659791</v>
      </c>
      <c r="H15" s="147">
        <f t="shared" si="12"/>
        <v>1317.1402288659792</v>
      </c>
      <c r="I15" s="147">
        <f t="shared" si="12"/>
        <v>1213.9642288659793</v>
      </c>
      <c r="J15" s="147">
        <f t="shared" si="12"/>
        <v>1111.3042288659794</v>
      </c>
      <c r="K15" s="147">
        <f t="shared" si="12"/>
        <v>925.60722886597955</v>
      </c>
      <c r="L15" s="147">
        <f t="shared" si="12"/>
        <v>740.05022886597976</v>
      </c>
      <c r="M15" s="147">
        <f t="shared" si="12"/>
        <v>555.14022886597991</v>
      </c>
      <c r="N15" s="147">
        <f t="shared" si="12"/>
        <v>369.86422886598001</v>
      </c>
      <c r="O15" s="147">
        <f t="shared" si="12"/>
        <v>185.22522886598011</v>
      </c>
    </row>
    <row r="16" spans="1:18">
      <c r="A16" s="143" t="s">
        <v>125</v>
      </c>
      <c r="B16" s="484"/>
      <c r="C16" s="143"/>
      <c r="D16" s="144">
        <f t="shared" ref="D16:O16" si="13">D5</f>
        <v>721</v>
      </c>
      <c r="E16" s="144">
        <f t="shared" si="13"/>
        <v>721</v>
      </c>
      <c r="F16" s="144">
        <f t="shared" si="13"/>
        <v>721</v>
      </c>
      <c r="G16" s="144">
        <f t="shared" si="13"/>
        <v>721</v>
      </c>
      <c r="H16" s="144">
        <f t="shared" si="13"/>
        <v>721</v>
      </c>
      <c r="I16" s="144">
        <f t="shared" si="13"/>
        <v>721</v>
      </c>
      <c r="J16" s="144">
        <f t="shared" si="13"/>
        <v>721</v>
      </c>
      <c r="K16" s="144">
        <f t="shared" si="13"/>
        <v>721</v>
      </c>
      <c r="L16" s="144">
        <f t="shared" si="13"/>
        <v>721</v>
      </c>
      <c r="M16" s="144">
        <f t="shared" si="13"/>
        <v>721</v>
      </c>
      <c r="N16" s="144">
        <f t="shared" si="13"/>
        <v>721</v>
      </c>
      <c r="O16" s="144">
        <f t="shared" si="13"/>
        <v>721</v>
      </c>
      <c r="P16" s="137">
        <f t="shared" si="4"/>
        <v>8652</v>
      </c>
    </row>
    <row r="17" spans="1:16">
      <c r="A17" s="143" t="s">
        <v>126</v>
      </c>
      <c r="B17" s="484"/>
      <c r="C17" s="143"/>
      <c r="D17" s="144">
        <f t="shared" ref="D17:O17" si="14">+D7</f>
        <v>0</v>
      </c>
      <c r="E17" s="144">
        <f t="shared" si="14"/>
        <v>308.59999999999991</v>
      </c>
      <c r="F17" s="144">
        <f t="shared" si="14"/>
        <v>308.59999999999991</v>
      </c>
      <c r="G17" s="144">
        <f t="shared" si="14"/>
        <v>308.59999999999991</v>
      </c>
      <c r="H17" s="144">
        <f t="shared" si="14"/>
        <v>308.59999999999991</v>
      </c>
      <c r="I17" s="144">
        <f t="shared" si="14"/>
        <v>308.59999999999991</v>
      </c>
      <c r="J17" s="144">
        <f t="shared" si="14"/>
        <v>308.59999999999991</v>
      </c>
      <c r="K17" s="144">
        <f t="shared" si="14"/>
        <v>308.59999999999991</v>
      </c>
      <c r="L17" s="144">
        <f t="shared" si="14"/>
        <v>308.59999999999991</v>
      </c>
      <c r="M17" s="144">
        <f t="shared" si="14"/>
        <v>308.59999999999991</v>
      </c>
      <c r="N17" s="144">
        <f t="shared" si="14"/>
        <v>308.59999999999991</v>
      </c>
      <c r="O17" s="144">
        <f t="shared" si="14"/>
        <v>308.59999999999991</v>
      </c>
      <c r="P17" s="137">
        <f t="shared" si="4"/>
        <v>3394.599999999999</v>
      </c>
    </row>
    <row r="18" spans="1:16">
      <c r="A18" s="143"/>
      <c r="B18" s="484"/>
      <c r="C18" s="156"/>
      <c r="D18" s="144"/>
      <c r="E18" s="144"/>
      <c r="F18" s="144"/>
      <c r="G18" s="144"/>
      <c r="H18" s="144"/>
      <c r="I18" s="144"/>
      <c r="J18" s="144"/>
      <c r="K18" s="144"/>
      <c r="L18" s="144"/>
      <c r="M18" s="144"/>
      <c r="N18" s="144"/>
      <c r="O18" s="144"/>
      <c r="P18" s="137">
        <f t="shared" si="4"/>
        <v>0</v>
      </c>
    </row>
    <row r="19" spans="1:16">
      <c r="A19" s="143"/>
      <c r="B19" s="484"/>
      <c r="C19" s="143"/>
      <c r="D19" s="144"/>
      <c r="E19" s="144"/>
      <c r="F19" s="144"/>
      <c r="G19" s="144"/>
      <c r="H19" s="144"/>
      <c r="I19" s="144"/>
      <c r="J19" s="144"/>
      <c r="K19" s="144"/>
      <c r="L19" s="144"/>
      <c r="M19" s="144"/>
      <c r="N19" s="144"/>
      <c r="O19" s="144"/>
      <c r="P19" s="137">
        <f t="shared" si="4"/>
        <v>0</v>
      </c>
    </row>
    <row r="20" spans="1:16">
      <c r="A20" s="136" t="s">
        <v>127</v>
      </c>
      <c r="B20" s="485"/>
      <c r="D20" s="137">
        <f>SUM(D15:D19)</f>
        <v>2721</v>
      </c>
      <c r="E20" s="137">
        <f t="shared" ref="E20:O20" si="15">SUM(E15:E19)</f>
        <v>2139.909228865979</v>
      </c>
      <c r="F20" s="137">
        <f t="shared" si="15"/>
        <v>2552.5762288659789</v>
      </c>
      <c r="G20" s="137">
        <f t="shared" si="15"/>
        <v>2449.400228865979</v>
      </c>
      <c r="H20" s="137">
        <f t="shared" si="15"/>
        <v>2346.7402288659791</v>
      </c>
      <c r="I20" s="137">
        <f t="shared" si="15"/>
        <v>2243.5642288659792</v>
      </c>
      <c r="J20" s="137">
        <f t="shared" si="15"/>
        <v>2140.9042288659793</v>
      </c>
      <c r="K20" s="137">
        <f t="shared" si="15"/>
        <v>1955.2072288659795</v>
      </c>
      <c r="L20" s="137">
        <f t="shared" si="15"/>
        <v>1769.6502288659797</v>
      </c>
      <c r="M20" s="137">
        <f t="shared" si="15"/>
        <v>1584.7402288659798</v>
      </c>
      <c r="N20" s="137">
        <f t="shared" si="15"/>
        <v>1399.46422886598</v>
      </c>
      <c r="O20" s="137">
        <f t="shared" si="15"/>
        <v>1214.8252288659801</v>
      </c>
      <c r="P20" s="137">
        <f t="shared" si="4"/>
        <v>24517.981517525775</v>
      </c>
    </row>
    <row r="21" spans="1:16">
      <c r="A21" s="155" t="s">
        <v>128</v>
      </c>
      <c r="B21" s="485"/>
      <c r="D21" s="137"/>
      <c r="E21" s="137"/>
      <c r="F21" s="137"/>
      <c r="G21" s="137"/>
      <c r="H21" s="137"/>
      <c r="I21" s="137"/>
      <c r="J21" s="137"/>
      <c r="K21" s="137"/>
      <c r="L21" s="137"/>
      <c r="M21" s="137"/>
      <c r="N21" s="137"/>
      <c r="O21" s="137"/>
      <c r="P21" s="137">
        <f t="shared" si="4"/>
        <v>0</v>
      </c>
    </row>
    <row r="22" spans="1:16">
      <c r="A22" s="143" t="s">
        <v>129</v>
      </c>
      <c r="B22" s="484"/>
      <c r="C22" s="143"/>
      <c r="D22" s="144">
        <f t="shared" ref="D22:O22" si="16">+D9</f>
        <v>57</v>
      </c>
      <c r="E22" s="144">
        <f t="shared" si="16"/>
        <v>57</v>
      </c>
      <c r="F22" s="144">
        <f t="shared" si="16"/>
        <v>57</v>
      </c>
      <c r="G22" s="144">
        <f t="shared" si="16"/>
        <v>57</v>
      </c>
      <c r="H22" s="144">
        <f t="shared" si="16"/>
        <v>57</v>
      </c>
      <c r="I22" s="144">
        <f t="shared" si="16"/>
        <v>57</v>
      </c>
      <c r="J22" s="144">
        <f t="shared" si="16"/>
        <v>57</v>
      </c>
      <c r="K22" s="144">
        <f t="shared" si="16"/>
        <v>57</v>
      </c>
      <c r="L22" s="144">
        <f t="shared" si="16"/>
        <v>57</v>
      </c>
      <c r="M22" s="144">
        <f t="shared" si="16"/>
        <v>57</v>
      </c>
      <c r="N22" s="144">
        <f t="shared" si="16"/>
        <v>57</v>
      </c>
      <c r="O22" s="144">
        <f t="shared" si="16"/>
        <v>57</v>
      </c>
      <c r="P22" s="137">
        <f t="shared" si="4"/>
        <v>684</v>
      </c>
    </row>
    <row r="23" spans="1:16">
      <c r="A23" s="143" t="s">
        <v>130</v>
      </c>
      <c r="B23" s="484"/>
      <c r="C23" s="149"/>
      <c r="D23" s="144">
        <f t="shared" ref="D23:O23" si="17">D11</f>
        <v>0</v>
      </c>
      <c r="E23" s="144">
        <f t="shared" si="17"/>
        <v>0</v>
      </c>
      <c r="F23" s="144">
        <f t="shared" si="17"/>
        <v>514.29599999999994</v>
      </c>
      <c r="G23" s="144">
        <f t="shared" si="17"/>
        <v>514.29599999999994</v>
      </c>
      <c r="H23" s="144">
        <f t="shared" si="17"/>
        <v>514.29599999999994</v>
      </c>
      <c r="I23" s="144">
        <f t="shared" si="17"/>
        <v>514.29599999999994</v>
      </c>
      <c r="J23" s="144">
        <f t="shared" si="17"/>
        <v>514.29599999999994</v>
      </c>
      <c r="K23" s="144">
        <f t="shared" si="17"/>
        <v>514.29599999999994</v>
      </c>
      <c r="L23" s="144">
        <f t="shared" si="17"/>
        <v>514.29599999999994</v>
      </c>
      <c r="M23" s="144">
        <f t="shared" si="17"/>
        <v>514.29599999999994</v>
      </c>
      <c r="N23" s="144">
        <f t="shared" si="17"/>
        <v>514.29599999999994</v>
      </c>
      <c r="O23" s="144">
        <f t="shared" si="17"/>
        <v>514.29599999999994</v>
      </c>
      <c r="P23" s="137">
        <f t="shared" si="4"/>
        <v>5142.96</v>
      </c>
    </row>
    <row r="24" spans="1:16" ht="15" customHeight="1">
      <c r="A24" s="143" t="s">
        <v>385</v>
      </c>
      <c r="B24" s="547" t="s">
        <v>386</v>
      </c>
      <c r="C24" s="156"/>
      <c r="D24" s="546">
        <f>+⑥シミュレーション!E76</f>
        <v>228.51839999999999</v>
      </c>
      <c r="E24" s="144"/>
      <c r="F24" s="144"/>
      <c r="G24" s="144"/>
      <c r="H24" s="144"/>
      <c r="I24" s="144"/>
      <c r="J24" s="144"/>
      <c r="K24" s="144"/>
      <c r="L24" s="144"/>
      <c r="M24" s="144"/>
      <c r="N24" s="144"/>
      <c r="O24" s="144"/>
      <c r="P24" s="137">
        <f t="shared" si="4"/>
        <v>228.51839999999999</v>
      </c>
    </row>
    <row r="25" spans="1:16">
      <c r="A25" s="143" t="s">
        <v>185</v>
      </c>
      <c r="B25" s="484"/>
      <c r="C25" s="152"/>
      <c r="D25" s="144">
        <f>+D12</f>
        <v>545.5</v>
      </c>
      <c r="E25" s="144">
        <f t="shared" ref="E25:O25" si="18">+E12</f>
        <v>545.5</v>
      </c>
      <c r="F25" s="144">
        <f t="shared" si="18"/>
        <v>545.5</v>
      </c>
      <c r="G25" s="144">
        <f t="shared" si="18"/>
        <v>545.5</v>
      </c>
      <c r="H25" s="144">
        <f t="shared" si="18"/>
        <v>545.5</v>
      </c>
      <c r="I25" s="144">
        <f t="shared" si="18"/>
        <v>545.5</v>
      </c>
      <c r="J25" s="144">
        <f t="shared" si="18"/>
        <v>545.5</v>
      </c>
      <c r="K25" s="144">
        <f t="shared" si="18"/>
        <v>545.5</v>
      </c>
      <c r="L25" s="144">
        <f t="shared" si="18"/>
        <v>545.5</v>
      </c>
      <c r="M25" s="144">
        <f t="shared" si="18"/>
        <v>545.5</v>
      </c>
      <c r="N25" s="144">
        <f t="shared" si="18"/>
        <v>545.5</v>
      </c>
      <c r="O25" s="144">
        <f t="shared" si="18"/>
        <v>545.5</v>
      </c>
      <c r="P25" s="137">
        <f t="shared" si="4"/>
        <v>6546</v>
      </c>
    </row>
    <row r="26" spans="1:16">
      <c r="A26" s="143" t="s">
        <v>191</v>
      </c>
      <c r="B26" s="484"/>
      <c r="C26" s="514" t="s">
        <v>333</v>
      </c>
      <c r="D26" s="466">
        <f>+⑥シミュレーション!E51*-1</f>
        <v>38</v>
      </c>
      <c r="E26" s="158"/>
      <c r="F26" s="158"/>
      <c r="G26" s="158"/>
      <c r="H26" s="158"/>
      <c r="I26" s="158"/>
      <c r="J26" s="158"/>
      <c r="K26" s="158"/>
      <c r="L26" s="158"/>
      <c r="M26" s="158"/>
      <c r="N26" s="158"/>
      <c r="O26" s="158"/>
      <c r="P26" s="137">
        <f t="shared" si="4"/>
        <v>38</v>
      </c>
    </row>
    <row r="27" spans="1:16">
      <c r="A27" s="143" t="s">
        <v>131</v>
      </c>
      <c r="B27" s="484"/>
      <c r="C27" s="514" t="s">
        <v>334</v>
      </c>
      <c r="D27" s="398">
        <f>+⑤借入金!AM30/1000</f>
        <v>15.98</v>
      </c>
      <c r="E27" s="398">
        <f>+⑤借入金!AN30/1000</f>
        <v>14.433</v>
      </c>
      <c r="F27" s="398">
        <f>+⑤借入金!AO30/1000</f>
        <v>15.98</v>
      </c>
      <c r="G27" s="398">
        <f>+⑤借入金!AP30/1000</f>
        <v>15.464</v>
      </c>
      <c r="H27" s="398">
        <f>+⑤借入金!AQ30/1000</f>
        <v>15.98</v>
      </c>
      <c r="I27" s="398">
        <f>+⑤借入金!AR30/1000</f>
        <v>15.464</v>
      </c>
      <c r="J27" s="398">
        <f>+⑤借入金!AS30/1000</f>
        <v>15.98</v>
      </c>
      <c r="K27" s="398">
        <f>+⑤借入金!AT30/1000</f>
        <v>15.84</v>
      </c>
      <c r="L27" s="398">
        <f>+⑤借入金!AU30/1000</f>
        <v>15.193</v>
      </c>
      <c r="M27" s="398">
        <f>+⑤借入金!AV30/1000</f>
        <v>15.558999999999999</v>
      </c>
      <c r="N27" s="398">
        <f>+⑤借入金!AW30/1000</f>
        <v>14.922000000000001</v>
      </c>
      <c r="O27" s="398">
        <f>+⑤借入金!AX30/1000</f>
        <v>15.279</v>
      </c>
      <c r="P27" s="137">
        <f t="shared" si="4"/>
        <v>186.07400000000001</v>
      </c>
    </row>
    <row r="28" spans="1:16">
      <c r="A28" s="136" t="s">
        <v>127</v>
      </c>
      <c r="B28" s="485"/>
      <c r="C28" s="161"/>
      <c r="D28" s="137">
        <f>SUM(D22:D27)</f>
        <v>884.99839999999995</v>
      </c>
      <c r="E28" s="137">
        <f>SUM(E22:E27)</f>
        <v>616.93299999999999</v>
      </c>
      <c r="F28" s="137">
        <f t="shared" ref="F28:P28" si="19">SUM(F22:F27)</f>
        <v>1132.7759999999998</v>
      </c>
      <c r="G28" s="137">
        <f t="shared" si="19"/>
        <v>1132.2599999999998</v>
      </c>
      <c r="H28" s="137">
        <f t="shared" si="19"/>
        <v>1132.7759999999998</v>
      </c>
      <c r="I28" s="137">
        <f t="shared" si="19"/>
        <v>1132.2599999999998</v>
      </c>
      <c r="J28" s="137">
        <f t="shared" si="19"/>
        <v>1132.7759999999998</v>
      </c>
      <c r="K28" s="137">
        <f t="shared" si="19"/>
        <v>1132.6359999999997</v>
      </c>
      <c r="L28" s="137">
        <f t="shared" si="19"/>
        <v>1131.9889999999998</v>
      </c>
      <c r="M28" s="137">
        <f t="shared" si="19"/>
        <v>1132.3549999999998</v>
      </c>
      <c r="N28" s="137">
        <f t="shared" si="19"/>
        <v>1131.7179999999998</v>
      </c>
      <c r="O28" s="137">
        <f t="shared" si="19"/>
        <v>1132.0749999999998</v>
      </c>
      <c r="P28" s="137">
        <f t="shared" si="19"/>
        <v>12825.5524</v>
      </c>
    </row>
    <row r="29" spans="1:16" s="159" customFormat="1" ht="14.25">
      <c r="A29" s="159" t="s">
        <v>132</v>
      </c>
      <c r="B29" s="486"/>
      <c r="C29" s="515"/>
      <c r="D29" s="160">
        <f>+D20-D28</f>
        <v>1836.0016000000001</v>
      </c>
      <c r="E29" s="160">
        <f t="shared" ref="E29:O29" si="20">+E20-E28</f>
        <v>1522.976228865979</v>
      </c>
      <c r="F29" s="160">
        <f t="shared" si="20"/>
        <v>1419.8002288659791</v>
      </c>
      <c r="G29" s="160">
        <f t="shared" si="20"/>
        <v>1317.1402288659792</v>
      </c>
      <c r="H29" s="160">
        <f t="shared" si="20"/>
        <v>1213.9642288659793</v>
      </c>
      <c r="I29" s="160">
        <f t="shared" si="20"/>
        <v>1111.3042288659794</v>
      </c>
      <c r="J29" s="160">
        <f t="shared" si="20"/>
        <v>1008.1282288659795</v>
      </c>
      <c r="K29" s="160">
        <f t="shared" si="20"/>
        <v>822.57122886597972</v>
      </c>
      <c r="L29" s="160">
        <f t="shared" si="20"/>
        <v>637.66122886597987</v>
      </c>
      <c r="M29" s="160">
        <f t="shared" si="20"/>
        <v>452.38522886598003</v>
      </c>
      <c r="N29" s="160">
        <f t="shared" si="20"/>
        <v>267.74622886598013</v>
      </c>
      <c r="O29" s="160">
        <f t="shared" si="20"/>
        <v>82.750228865980262</v>
      </c>
      <c r="P29" s="137"/>
    </row>
    <row r="30" spans="1:16">
      <c r="A30" s="155" t="s">
        <v>123</v>
      </c>
      <c r="B30" s="485"/>
      <c r="C30" s="161"/>
    </row>
    <row r="31" spans="1:16" s="228" customFormat="1">
      <c r="A31" s="264" t="s">
        <v>328</v>
      </c>
      <c r="B31" s="487" t="s">
        <v>331</v>
      </c>
      <c r="C31" s="516" t="s">
        <v>329</v>
      </c>
      <c r="D31" s="398">
        <f>+⑥シミュレーション!E68</f>
        <v>1274.3076288659797</v>
      </c>
      <c r="E31" s="227"/>
      <c r="F31" s="227"/>
      <c r="G31" s="227"/>
      <c r="H31" s="227"/>
      <c r="I31" s="227"/>
      <c r="J31" s="227"/>
      <c r="K31" s="227"/>
      <c r="L31" s="227"/>
      <c r="M31" s="227"/>
      <c r="N31" s="227"/>
      <c r="O31" s="227"/>
      <c r="P31" s="137">
        <f t="shared" si="4"/>
        <v>1274.3076288659797</v>
      </c>
    </row>
    <row r="32" spans="1:16" s="228" customFormat="1">
      <c r="A32" s="264" t="s">
        <v>326</v>
      </c>
      <c r="B32" s="487" t="s">
        <v>332</v>
      </c>
      <c r="C32" s="516" t="s">
        <v>330</v>
      </c>
      <c r="D32" s="398">
        <f>+⑥シミュレーション!E64+⑥シミュレーション!E65+⑥シミュレーション!E66</f>
        <v>9407.5</v>
      </c>
      <c r="E32" s="227"/>
      <c r="F32" s="227"/>
      <c r="G32" s="227"/>
      <c r="H32" s="227"/>
      <c r="I32" s="227"/>
      <c r="J32" s="227"/>
      <c r="K32" s="227"/>
      <c r="L32" s="227"/>
      <c r="M32" s="227"/>
      <c r="N32" s="227"/>
      <c r="O32" s="227"/>
      <c r="P32" s="137"/>
    </row>
    <row r="33" spans="1:16" s="228" customFormat="1">
      <c r="A33" s="264"/>
      <c r="B33" s="487"/>
      <c r="C33" s="274"/>
      <c r="D33" s="270"/>
      <c r="E33" s="227"/>
      <c r="F33" s="227"/>
      <c r="G33" s="227"/>
      <c r="H33" s="227"/>
      <c r="I33" s="227"/>
      <c r="J33" s="227"/>
      <c r="K33" s="227"/>
      <c r="L33" s="227"/>
      <c r="M33" s="227"/>
      <c r="N33" s="227"/>
      <c r="O33" s="227"/>
      <c r="P33" s="137"/>
    </row>
    <row r="34" spans="1:16">
      <c r="A34" s="43" t="s">
        <v>192</v>
      </c>
      <c r="B34" s="488"/>
      <c r="C34" s="260">
        <v>6793</v>
      </c>
      <c r="D34" s="43"/>
      <c r="E34" s="261"/>
      <c r="F34" s="261"/>
      <c r="G34" s="261"/>
      <c r="H34" s="261"/>
      <c r="I34" s="261"/>
      <c r="J34" s="261"/>
      <c r="K34" s="261"/>
      <c r="L34" s="261"/>
      <c r="M34" s="261"/>
      <c r="N34" s="261"/>
      <c r="O34" s="261"/>
      <c r="P34" s="137">
        <f t="shared" si="4"/>
        <v>0</v>
      </c>
    </row>
    <row r="35" spans="1:16">
      <c r="A35" s="161"/>
      <c r="B35" s="485"/>
      <c r="C35" s="157"/>
      <c r="D35" s="151">
        <f>SUM(D31:D34)</f>
        <v>10681.807628865979</v>
      </c>
      <c r="E35" s="151">
        <f t="shared" ref="E35:O35" si="21">SUM(E34:E34)</f>
        <v>0</v>
      </c>
      <c r="F35" s="151">
        <f t="shared" si="21"/>
        <v>0</v>
      </c>
      <c r="G35" s="151">
        <f t="shared" si="21"/>
        <v>0</v>
      </c>
      <c r="H35" s="151">
        <f t="shared" si="21"/>
        <v>0</v>
      </c>
      <c r="I35" s="151">
        <f t="shared" si="21"/>
        <v>0</v>
      </c>
      <c r="J35" s="151">
        <f t="shared" si="21"/>
        <v>0</v>
      </c>
      <c r="K35" s="151">
        <f t="shared" si="21"/>
        <v>0</v>
      </c>
      <c r="L35" s="151">
        <f t="shared" si="21"/>
        <v>0</v>
      </c>
      <c r="M35" s="151">
        <f t="shared" si="21"/>
        <v>0</v>
      </c>
      <c r="N35" s="151">
        <f t="shared" si="21"/>
        <v>0</v>
      </c>
      <c r="O35" s="151">
        <f t="shared" si="21"/>
        <v>0</v>
      </c>
      <c r="P35" s="137">
        <f t="shared" si="4"/>
        <v>10681.807628865979</v>
      </c>
    </row>
    <row r="36" spans="1:16" ht="14.25" customHeight="1">
      <c r="A36" s="155" t="s">
        <v>128</v>
      </c>
      <c r="B36" s="485"/>
      <c r="C36" s="157"/>
      <c r="D36" s="151"/>
      <c r="E36" s="151"/>
      <c r="F36" s="151"/>
      <c r="G36" s="151"/>
      <c r="H36" s="151"/>
      <c r="I36" s="151"/>
      <c r="J36" s="151"/>
      <c r="K36" s="151"/>
      <c r="L36" s="151"/>
      <c r="M36" s="151"/>
      <c r="N36" s="151"/>
      <c r="O36" s="151"/>
      <c r="P36" s="137">
        <f t="shared" si="4"/>
        <v>0</v>
      </c>
    </row>
    <row r="37" spans="1:16" s="228" customFormat="1">
      <c r="A37" s="231" t="s">
        <v>139</v>
      </c>
      <c r="B37" s="487"/>
      <c r="C37" s="265"/>
      <c r="D37" s="398">
        <f>⑤借入金!AM29/1000</f>
        <v>0</v>
      </c>
      <c r="E37" s="398">
        <f>⑤借入金!AN29/1000</f>
        <v>0</v>
      </c>
      <c r="F37" s="398">
        <f>⑤借入金!AO29/1000</f>
        <v>0</v>
      </c>
      <c r="G37" s="398">
        <f>⑤借入金!AP29/1000</f>
        <v>0</v>
      </c>
      <c r="H37" s="398">
        <f>⑤借入金!AQ29/1000</f>
        <v>0</v>
      </c>
      <c r="I37" s="398">
        <f>⑤借入金!AR29/1000</f>
        <v>0</v>
      </c>
      <c r="J37" s="398">
        <f>⑤借入金!AS29/1000</f>
        <v>82.521000000000001</v>
      </c>
      <c r="K37" s="398">
        <f>⑤借入金!AT29/1000</f>
        <v>82.521000000000001</v>
      </c>
      <c r="L37" s="398">
        <f>⑤借入金!AU29/1000</f>
        <v>82.521000000000001</v>
      </c>
      <c r="M37" s="398">
        <f>⑤借入金!AV29/1000</f>
        <v>82.521000000000001</v>
      </c>
      <c r="N37" s="398">
        <f>⑤借入金!AW29/1000</f>
        <v>82.521000000000001</v>
      </c>
      <c r="O37" s="398">
        <f>⑤借入金!AX29/1000</f>
        <v>82.521000000000001</v>
      </c>
      <c r="P37" s="266">
        <f t="shared" si="4"/>
        <v>495.12600000000003</v>
      </c>
    </row>
    <row r="38" spans="1:16" s="228" customFormat="1">
      <c r="A38" s="231" t="s">
        <v>327</v>
      </c>
      <c r="B38" s="487"/>
      <c r="C38" s="265"/>
      <c r="D38" s="398">
        <f>+⑥シミュレーション!E61*-1</f>
        <v>11407.5</v>
      </c>
      <c r="E38" s="270"/>
      <c r="F38" s="270"/>
      <c r="G38" s="270"/>
      <c r="H38" s="270"/>
      <c r="I38" s="270"/>
      <c r="J38" s="270"/>
      <c r="K38" s="270"/>
      <c r="L38" s="270"/>
      <c r="M38" s="270"/>
      <c r="N38" s="270"/>
      <c r="O38" s="270"/>
      <c r="P38" s="266">
        <f t="shared" si="4"/>
        <v>11407.5</v>
      </c>
    </row>
    <row r="39" spans="1:16" s="228" customFormat="1">
      <c r="A39" s="231" t="s">
        <v>197</v>
      </c>
      <c r="B39" s="487"/>
      <c r="C39" s="265" t="s">
        <v>358</v>
      </c>
      <c r="D39" s="483">
        <f>$P$39/12</f>
        <v>0</v>
      </c>
      <c r="E39" s="483">
        <f t="shared" ref="E39:O39" si="22">$P$39/12</f>
        <v>0</v>
      </c>
      <c r="F39" s="483">
        <f t="shared" si="22"/>
        <v>0</v>
      </c>
      <c r="G39" s="483">
        <f t="shared" si="22"/>
        <v>0</v>
      </c>
      <c r="H39" s="483">
        <f t="shared" si="22"/>
        <v>0</v>
      </c>
      <c r="I39" s="483">
        <f t="shared" si="22"/>
        <v>0</v>
      </c>
      <c r="J39" s="483">
        <f t="shared" si="22"/>
        <v>0</v>
      </c>
      <c r="K39" s="483">
        <f t="shared" si="22"/>
        <v>0</v>
      </c>
      <c r="L39" s="483">
        <f t="shared" si="22"/>
        <v>0</v>
      </c>
      <c r="M39" s="483">
        <f t="shared" si="22"/>
        <v>0</v>
      </c>
      <c r="N39" s="483">
        <f>$P$39/12</f>
        <v>0</v>
      </c>
      <c r="O39" s="483">
        <f t="shared" si="22"/>
        <v>0</v>
      </c>
      <c r="P39" s="518">
        <f>+⑥シミュレーション!E62*-1</f>
        <v>0</v>
      </c>
    </row>
    <row r="40" spans="1:16">
      <c r="A40" s="164" t="s">
        <v>196</v>
      </c>
      <c r="B40" s="488"/>
      <c r="C40" s="262"/>
      <c r="D40" s="261"/>
      <c r="E40" s="261"/>
      <c r="F40" s="261"/>
      <c r="G40" s="261"/>
      <c r="H40" s="261"/>
      <c r="I40" s="261"/>
      <c r="J40" s="261"/>
      <c r="K40" s="261"/>
      <c r="L40" s="261"/>
      <c r="M40" s="261"/>
      <c r="N40" s="261"/>
      <c r="O40" s="261"/>
      <c r="P40" s="137">
        <f t="shared" si="4"/>
        <v>0</v>
      </c>
    </row>
    <row r="41" spans="1:16" ht="14.25" thickBot="1">
      <c r="A41" s="136" t="s">
        <v>127</v>
      </c>
      <c r="D41" s="137">
        <f t="shared" ref="D41:O41" si="23">SUM(D37:D40)</f>
        <v>11407.5</v>
      </c>
      <c r="E41" s="137">
        <f t="shared" si="23"/>
        <v>0</v>
      </c>
      <c r="F41" s="137">
        <f t="shared" si="23"/>
        <v>0</v>
      </c>
      <c r="G41" s="137">
        <f t="shared" si="23"/>
        <v>0</v>
      </c>
      <c r="H41" s="137">
        <f t="shared" si="23"/>
        <v>0</v>
      </c>
      <c r="I41" s="137">
        <f t="shared" si="23"/>
        <v>0</v>
      </c>
      <c r="J41" s="137">
        <f t="shared" si="23"/>
        <v>82.521000000000001</v>
      </c>
      <c r="K41" s="137">
        <f t="shared" si="23"/>
        <v>82.521000000000001</v>
      </c>
      <c r="L41" s="137">
        <f t="shared" si="23"/>
        <v>82.521000000000001</v>
      </c>
      <c r="M41" s="137">
        <f t="shared" si="23"/>
        <v>82.521000000000001</v>
      </c>
      <c r="N41" s="137">
        <f t="shared" si="23"/>
        <v>82.521000000000001</v>
      </c>
      <c r="O41" s="137">
        <f t="shared" si="23"/>
        <v>82.521000000000001</v>
      </c>
    </row>
    <row r="42" spans="1:16" s="140" customFormat="1" ht="20.25" customHeight="1">
      <c r="A42" s="140" t="s">
        <v>140</v>
      </c>
      <c r="D42" s="142">
        <f t="shared" ref="D42:O42" si="24">+D29+D35-D41</f>
        <v>1110.3092288659791</v>
      </c>
      <c r="E42" s="142">
        <f t="shared" si="24"/>
        <v>1522.976228865979</v>
      </c>
      <c r="F42" s="142">
        <f t="shared" si="24"/>
        <v>1419.8002288659791</v>
      </c>
      <c r="G42" s="142">
        <f t="shared" si="24"/>
        <v>1317.1402288659792</v>
      </c>
      <c r="H42" s="142">
        <f t="shared" si="24"/>
        <v>1213.9642288659793</v>
      </c>
      <c r="I42" s="142">
        <f t="shared" si="24"/>
        <v>1111.3042288659794</v>
      </c>
      <c r="J42" s="142">
        <f t="shared" si="24"/>
        <v>925.60722886597955</v>
      </c>
      <c r="K42" s="142">
        <f t="shared" si="24"/>
        <v>740.05022886597976</v>
      </c>
      <c r="L42" s="142">
        <f t="shared" si="24"/>
        <v>555.14022886597991</v>
      </c>
      <c r="M42" s="142">
        <f t="shared" si="24"/>
        <v>369.86422886598001</v>
      </c>
      <c r="N42" s="142">
        <f t="shared" si="24"/>
        <v>185.22522886598011</v>
      </c>
      <c r="O42" s="142">
        <f t="shared" si="24"/>
        <v>0.22922886598026082</v>
      </c>
      <c r="P42" s="472">
        <f>+⑥シミュレーション!E71</f>
        <v>0.22922886597939396</v>
      </c>
    </row>
    <row r="43" spans="1:16">
      <c r="B43" s="162"/>
      <c r="D43" s="137"/>
      <c r="E43" s="137"/>
      <c r="F43" s="137"/>
      <c r="G43" s="137"/>
      <c r="H43" s="137"/>
      <c r="I43" s="137"/>
      <c r="J43" s="137"/>
      <c r="K43" s="137"/>
      <c r="L43" s="137"/>
      <c r="M43" s="137"/>
      <c r="N43" s="137"/>
      <c r="P43" s="136"/>
    </row>
    <row r="44" spans="1:16">
      <c r="B44" s="162"/>
      <c r="D44" s="137"/>
      <c r="E44" s="137"/>
      <c r="F44" s="137"/>
      <c r="G44" s="137"/>
      <c r="H44" s="137"/>
      <c r="I44" s="137"/>
      <c r="J44" s="137"/>
      <c r="K44" s="137"/>
      <c r="L44" s="137"/>
      <c r="M44" s="137"/>
      <c r="N44" s="137"/>
    </row>
    <row r="45" spans="1:16">
      <c r="P45" s="473"/>
    </row>
    <row r="46" spans="1:16">
      <c r="O46" s="157"/>
      <c r="P46" s="473"/>
    </row>
    <row r="48" spans="1:16" ht="14.25">
      <c r="G48" s="512" t="s">
        <v>354</v>
      </c>
    </row>
    <row r="49" spans="7:9">
      <c r="G49" s="143" t="s">
        <v>351</v>
      </c>
      <c r="H49" s="261"/>
      <c r="I49" s="136" t="s">
        <v>355</v>
      </c>
    </row>
    <row r="50" spans="7:9">
      <c r="G50" s="143" t="s">
        <v>352</v>
      </c>
      <c r="H50" s="43">
        <v>3.5000000000000003E-2</v>
      </c>
    </row>
    <row r="51" spans="7:9">
      <c r="G51" s="143" t="s">
        <v>353</v>
      </c>
      <c r="H51" s="43">
        <v>36</v>
      </c>
    </row>
    <row r="52" spans="7:9">
      <c r="G52" s="143" t="s">
        <v>96</v>
      </c>
      <c r="H52" s="43">
        <v>0</v>
      </c>
    </row>
    <row r="361" spans="1:1">
      <c r="A361" s="136" t="s">
        <v>133</v>
      </c>
    </row>
  </sheetData>
  <phoneticPr fontId="3"/>
  <printOptions headings="1"/>
  <pageMargins left="0.70866141732283472" right="0.70866141732283472" top="0.74803149606299213" bottom="0.74803149606299213" header="0.31496062992125984" footer="0.31496062992125984"/>
  <pageSetup paperSize="8" scale="66"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pageSetUpPr fitToPage="1"/>
  </sheetPr>
  <dimension ref="A1:Z87"/>
  <sheetViews>
    <sheetView topLeftCell="M37" zoomScale="94" zoomScaleNormal="94" workbookViewId="0">
      <selection activeCell="AA49" sqref="AA49"/>
    </sheetView>
  </sheetViews>
  <sheetFormatPr defaultColWidth="10.19921875" defaultRowHeight="13.5"/>
  <cols>
    <col min="1" max="1" width="3" style="32" customWidth="1"/>
    <col min="2" max="2" width="19.09765625" style="31" customWidth="1"/>
    <col min="3" max="3" width="9.3984375" style="33" customWidth="1"/>
    <col min="4" max="4" width="6.796875" style="32" customWidth="1"/>
    <col min="5" max="5" width="7" style="32" customWidth="1"/>
    <col min="6" max="6" width="6.69921875" style="32" customWidth="1"/>
    <col min="7" max="7" width="6.19921875" style="32" customWidth="1"/>
    <col min="8" max="8" width="8.296875" style="33" customWidth="1"/>
    <col min="9" max="9" width="7.69921875" style="33" customWidth="1"/>
    <col min="10" max="10" width="9.19921875" style="33" customWidth="1"/>
    <col min="11" max="11" width="10.19921875" style="33" customWidth="1"/>
    <col min="12" max="12" width="7" style="32" customWidth="1"/>
    <col min="13" max="13" width="8" style="32" customWidth="1"/>
    <col min="14" max="14" width="7.5" style="32" customWidth="1"/>
    <col min="15" max="15" width="4.69921875" style="32" customWidth="1"/>
    <col min="16" max="16" width="6.59765625" style="32" customWidth="1"/>
    <col min="17" max="17" width="5" style="32" customWidth="1"/>
    <col min="18" max="18" width="6.59765625" style="32" customWidth="1"/>
    <col min="19" max="19" width="4.19921875" style="32" bestFit="1" customWidth="1"/>
    <col min="20" max="20" width="6.59765625" style="32" customWidth="1"/>
    <col min="21" max="21" width="4.19921875" style="32" bestFit="1" customWidth="1"/>
    <col min="22" max="22" width="6.59765625" style="32" customWidth="1"/>
    <col min="23" max="23" width="4.19921875" style="32" bestFit="1" customWidth="1"/>
    <col min="24" max="24" width="6.59765625" style="32" customWidth="1"/>
    <col min="25" max="25" width="8.69921875" style="32" customWidth="1"/>
    <col min="26" max="26" width="35.796875" style="32" customWidth="1"/>
    <col min="27" max="266" width="10.19921875" style="32"/>
    <col min="267" max="267" width="3.59765625" style="32" customWidth="1"/>
    <col min="268" max="268" width="19.8984375" style="32" customWidth="1"/>
    <col min="269" max="269" width="5.59765625" style="32" customWidth="1"/>
    <col min="270" max="273" width="7.3984375" style="32" customWidth="1"/>
    <col min="274" max="274" width="9.8984375" style="32" customWidth="1"/>
    <col min="275" max="275" width="7.69921875" style="32" customWidth="1"/>
    <col min="276" max="276" width="5" style="32" customWidth="1"/>
    <col min="277" max="277" width="10.19921875" style="32" customWidth="1"/>
    <col min="278" max="278" width="7" style="32" customWidth="1"/>
    <col min="279" max="279" width="9" style="32" customWidth="1"/>
    <col min="280" max="280" width="6.59765625" style="32" customWidth="1"/>
    <col min="281" max="281" width="8.8984375" style="32" customWidth="1"/>
    <col min="282" max="282" width="42.8984375" style="32" customWidth="1"/>
    <col min="283" max="522" width="10.19921875" style="32"/>
    <col min="523" max="523" width="3.59765625" style="32" customWidth="1"/>
    <col min="524" max="524" width="19.8984375" style="32" customWidth="1"/>
    <col min="525" max="525" width="5.59765625" style="32" customWidth="1"/>
    <col min="526" max="529" width="7.3984375" style="32" customWidth="1"/>
    <col min="530" max="530" width="9.8984375" style="32" customWidth="1"/>
    <col min="531" max="531" width="7.69921875" style="32" customWidth="1"/>
    <col min="532" max="532" width="5" style="32" customWidth="1"/>
    <col min="533" max="533" width="10.19921875" style="32" customWidth="1"/>
    <col min="534" max="534" width="7" style="32" customWidth="1"/>
    <col min="535" max="535" width="9" style="32" customWidth="1"/>
    <col min="536" max="536" width="6.59765625" style="32" customWidth="1"/>
    <col min="537" max="537" width="8.8984375" style="32" customWidth="1"/>
    <col min="538" max="538" width="42.8984375" style="32" customWidth="1"/>
    <col min="539" max="778" width="10.19921875" style="32"/>
    <col min="779" max="779" width="3.59765625" style="32" customWidth="1"/>
    <col min="780" max="780" width="19.8984375" style="32" customWidth="1"/>
    <col min="781" max="781" width="5.59765625" style="32" customWidth="1"/>
    <col min="782" max="785" width="7.3984375" style="32" customWidth="1"/>
    <col min="786" max="786" width="9.8984375" style="32" customWidth="1"/>
    <col min="787" max="787" width="7.69921875" style="32" customWidth="1"/>
    <col min="788" max="788" width="5" style="32" customWidth="1"/>
    <col min="789" max="789" width="10.19921875" style="32" customWidth="1"/>
    <col min="790" max="790" width="7" style="32" customWidth="1"/>
    <col min="791" max="791" width="9" style="32" customWidth="1"/>
    <col min="792" max="792" width="6.59765625" style="32" customWidth="1"/>
    <col min="793" max="793" width="8.8984375" style="32" customWidth="1"/>
    <col min="794" max="794" width="42.8984375" style="32" customWidth="1"/>
    <col min="795" max="1034" width="10.19921875" style="32"/>
    <col min="1035" max="1035" width="3.59765625" style="32" customWidth="1"/>
    <col min="1036" max="1036" width="19.8984375" style="32" customWidth="1"/>
    <col min="1037" max="1037" width="5.59765625" style="32" customWidth="1"/>
    <col min="1038" max="1041" width="7.3984375" style="32" customWidth="1"/>
    <col min="1042" max="1042" width="9.8984375" style="32" customWidth="1"/>
    <col min="1043" max="1043" width="7.69921875" style="32" customWidth="1"/>
    <col min="1044" max="1044" width="5" style="32" customWidth="1"/>
    <col min="1045" max="1045" width="10.19921875" style="32" customWidth="1"/>
    <col min="1046" max="1046" width="7" style="32" customWidth="1"/>
    <col min="1047" max="1047" width="9" style="32" customWidth="1"/>
    <col min="1048" max="1048" width="6.59765625" style="32" customWidth="1"/>
    <col min="1049" max="1049" width="8.8984375" style="32" customWidth="1"/>
    <col min="1050" max="1050" width="42.8984375" style="32" customWidth="1"/>
    <col min="1051" max="1290" width="10.19921875" style="32"/>
    <col min="1291" max="1291" width="3.59765625" style="32" customWidth="1"/>
    <col min="1292" max="1292" width="19.8984375" style="32" customWidth="1"/>
    <col min="1293" max="1293" width="5.59765625" style="32" customWidth="1"/>
    <col min="1294" max="1297" width="7.3984375" style="32" customWidth="1"/>
    <col min="1298" max="1298" width="9.8984375" style="32" customWidth="1"/>
    <col min="1299" max="1299" width="7.69921875" style="32" customWidth="1"/>
    <col min="1300" max="1300" width="5" style="32" customWidth="1"/>
    <col min="1301" max="1301" width="10.19921875" style="32" customWidth="1"/>
    <col min="1302" max="1302" width="7" style="32" customWidth="1"/>
    <col min="1303" max="1303" width="9" style="32" customWidth="1"/>
    <col min="1304" max="1304" width="6.59765625" style="32" customWidth="1"/>
    <col min="1305" max="1305" width="8.8984375" style="32" customWidth="1"/>
    <col min="1306" max="1306" width="42.8984375" style="32" customWidth="1"/>
    <col min="1307" max="1546" width="10.19921875" style="32"/>
    <col min="1547" max="1547" width="3.59765625" style="32" customWidth="1"/>
    <col min="1548" max="1548" width="19.8984375" style="32" customWidth="1"/>
    <col min="1549" max="1549" width="5.59765625" style="32" customWidth="1"/>
    <col min="1550" max="1553" width="7.3984375" style="32" customWidth="1"/>
    <col min="1554" max="1554" width="9.8984375" style="32" customWidth="1"/>
    <col min="1555" max="1555" width="7.69921875" style="32" customWidth="1"/>
    <col min="1556" max="1556" width="5" style="32" customWidth="1"/>
    <col min="1557" max="1557" width="10.19921875" style="32" customWidth="1"/>
    <col min="1558" max="1558" width="7" style="32" customWidth="1"/>
    <col min="1559" max="1559" width="9" style="32" customWidth="1"/>
    <col min="1560" max="1560" width="6.59765625" style="32" customWidth="1"/>
    <col min="1561" max="1561" width="8.8984375" style="32" customWidth="1"/>
    <col min="1562" max="1562" width="42.8984375" style="32" customWidth="1"/>
    <col min="1563" max="1802" width="10.19921875" style="32"/>
    <col min="1803" max="1803" width="3.59765625" style="32" customWidth="1"/>
    <col min="1804" max="1804" width="19.8984375" style="32" customWidth="1"/>
    <col min="1805" max="1805" width="5.59765625" style="32" customWidth="1"/>
    <col min="1806" max="1809" width="7.3984375" style="32" customWidth="1"/>
    <col min="1810" max="1810" width="9.8984375" style="32" customWidth="1"/>
    <col min="1811" max="1811" width="7.69921875" style="32" customWidth="1"/>
    <col min="1812" max="1812" width="5" style="32" customWidth="1"/>
    <col min="1813" max="1813" width="10.19921875" style="32" customWidth="1"/>
    <col min="1814" max="1814" width="7" style="32" customWidth="1"/>
    <col min="1815" max="1815" width="9" style="32" customWidth="1"/>
    <col min="1816" max="1816" width="6.59765625" style="32" customWidth="1"/>
    <col min="1817" max="1817" width="8.8984375" style="32" customWidth="1"/>
    <col min="1818" max="1818" width="42.8984375" style="32" customWidth="1"/>
    <col min="1819" max="2058" width="10.19921875" style="32"/>
    <col min="2059" max="2059" width="3.59765625" style="32" customWidth="1"/>
    <col min="2060" max="2060" width="19.8984375" style="32" customWidth="1"/>
    <col min="2061" max="2061" width="5.59765625" style="32" customWidth="1"/>
    <col min="2062" max="2065" width="7.3984375" style="32" customWidth="1"/>
    <col min="2066" max="2066" width="9.8984375" style="32" customWidth="1"/>
    <col min="2067" max="2067" width="7.69921875" style="32" customWidth="1"/>
    <col min="2068" max="2068" width="5" style="32" customWidth="1"/>
    <col min="2069" max="2069" width="10.19921875" style="32" customWidth="1"/>
    <col min="2070" max="2070" width="7" style="32" customWidth="1"/>
    <col min="2071" max="2071" width="9" style="32" customWidth="1"/>
    <col min="2072" max="2072" width="6.59765625" style="32" customWidth="1"/>
    <col min="2073" max="2073" width="8.8984375" style="32" customWidth="1"/>
    <col min="2074" max="2074" width="42.8984375" style="32" customWidth="1"/>
    <col min="2075" max="2314" width="10.19921875" style="32"/>
    <col min="2315" max="2315" width="3.59765625" style="32" customWidth="1"/>
    <col min="2316" max="2316" width="19.8984375" style="32" customWidth="1"/>
    <col min="2317" max="2317" width="5.59765625" style="32" customWidth="1"/>
    <col min="2318" max="2321" width="7.3984375" style="32" customWidth="1"/>
    <col min="2322" max="2322" width="9.8984375" style="32" customWidth="1"/>
    <col min="2323" max="2323" width="7.69921875" style="32" customWidth="1"/>
    <col min="2324" max="2324" width="5" style="32" customWidth="1"/>
    <col min="2325" max="2325" width="10.19921875" style="32" customWidth="1"/>
    <col min="2326" max="2326" width="7" style="32" customWidth="1"/>
    <col min="2327" max="2327" width="9" style="32" customWidth="1"/>
    <col min="2328" max="2328" width="6.59765625" style="32" customWidth="1"/>
    <col min="2329" max="2329" width="8.8984375" style="32" customWidth="1"/>
    <col min="2330" max="2330" width="42.8984375" style="32" customWidth="1"/>
    <col min="2331" max="2570" width="10.19921875" style="32"/>
    <col min="2571" max="2571" width="3.59765625" style="32" customWidth="1"/>
    <col min="2572" max="2572" width="19.8984375" style="32" customWidth="1"/>
    <col min="2573" max="2573" width="5.59765625" style="32" customWidth="1"/>
    <col min="2574" max="2577" width="7.3984375" style="32" customWidth="1"/>
    <col min="2578" max="2578" width="9.8984375" style="32" customWidth="1"/>
    <col min="2579" max="2579" width="7.69921875" style="32" customWidth="1"/>
    <col min="2580" max="2580" width="5" style="32" customWidth="1"/>
    <col min="2581" max="2581" width="10.19921875" style="32" customWidth="1"/>
    <col min="2582" max="2582" width="7" style="32" customWidth="1"/>
    <col min="2583" max="2583" width="9" style="32" customWidth="1"/>
    <col min="2584" max="2584" width="6.59765625" style="32" customWidth="1"/>
    <col min="2585" max="2585" width="8.8984375" style="32" customWidth="1"/>
    <col min="2586" max="2586" width="42.8984375" style="32" customWidth="1"/>
    <col min="2587" max="2826" width="10.19921875" style="32"/>
    <col min="2827" max="2827" width="3.59765625" style="32" customWidth="1"/>
    <col min="2828" max="2828" width="19.8984375" style="32" customWidth="1"/>
    <col min="2829" max="2829" width="5.59765625" style="32" customWidth="1"/>
    <col min="2830" max="2833" width="7.3984375" style="32" customWidth="1"/>
    <col min="2834" max="2834" width="9.8984375" style="32" customWidth="1"/>
    <col min="2835" max="2835" width="7.69921875" style="32" customWidth="1"/>
    <col min="2836" max="2836" width="5" style="32" customWidth="1"/>
    <col min="2837" max="2837" width="10.19921875" style="32" customWidth="1"/>
    <col min="2838" max="2838" width="7" style="32" customWidth="1"/>
    <col min="2839" max="2839" width="9" style="32" customWidth="1"/>
    <col min="2840" max="2840" width="6.59765625" style="32" customWidth="1"/>
    <col min="2841" max="2841" width="8.8984375" style="32" customWidth="1"/>
    <col min="2842" max="2842" width="42.8984375" style="32" customWidth="1"/>
    <col min="2843" max="3082" width="10.19921875" style="32"/>
    <col min="3083" max="3083" width="3.59765625" style="32" customWidth="1"/>
    <col min="3084" max="3084" width="19.8984375" style="32" customWidth="1"/>
    <col min="3085" max="3085" width="5.59765625" style="32" customWidth="1"/>
    <col min="3086" max="3089" width="7.3984375" style="32" customWidth="1"/>
    <col min="3090" max="3090" width="9.8984375" style="32" customWidth="1"/>
    <col min="3091" max="3091" width="7.69921875" style="32" customWidth="1"/>
    <col min="3092" max="3092" width="5" style="32" customWidth="1"/>
    <col min="3093" max="3093" width="10.19921875" style="32" customWidth="1"/>
    <col min="3094" max="3094" width="7" style="32" customWidth="1"/>
    <col min="3095" max="3095" width="9" style="32" customWidth="1"/>
    <col min="3096" max="3096" width="6.59765625" style="32" customWidth="1"/>
    <col min="3097" max="3097" width="8.8984375" style="32" customWidth="1"/>
    <col min="3098" max="3098" width="42.8984375" style="32" customWidth="1"/>
    <col min="3099" max="3338" width="10.19921875" style="32"/>
    <col min="3339" max="3339" width="3.59765625" style="32" customWidth="1"/>
    <col min="3340" max="3340" width="19.8984375" style="32" customWidth="1"/>
    <col min="3341" max="3341" width="5.59765625" style="32" customWidth="1"/>
    <col min="3342" max="3345" width="7.3984375" style="32" customWidth="1"/>
    <col min="3346" max="3346" width="9.8984375" style="32" customWidth="1"/>
    <col min="3347" max="3347" width="7.69921875" style="32" customWidth="1"/>
    <col min="3348" max="3348" width="5" style="32" customWidth="1"/>
    <col min="3349" max="3349" width="10.19921875" style="32" customWidth="1"/>
    <col min="3350" max="3350" width="7" style="32" customWidth="1"/>
    <col min="3351" max="3351" width="9" style="32" customWidth="1"/>
    <col min="3352" max="3352" width="6.59765625" style="32" customWidth="1"/>
    <col min="3353" max="3353" width="8.8984375" style="32" customWidth="1"/>
    <col min="3354" max="3354" width="42.8984375" style="32" customWidth="1"/>
    <col min="3355" max="3594" width="10.19921875" style="32"/>
    <col min="3595" max="3595" width="3.59765625" style="32" customWidth="1"/>
    <col min="3596" max="3596" width="19.8984375" style="32" customWidth="1"/>
    <col min="3597" max="3597" width="5.59765625" style="32" customWidth="1"/>
    <col min="3598" max="3601" width="7.3984375" style="32" customWidth="1"/>
    <col min="3602" max="3602" width="9.8984375" style="32" customWidth="1"/>
    <col min="3603" max="3603" width="7.69921875" style="32" customWidth="1"/>
    <col min="3604" max="3604" width="5" style="32" customWidth="1"/>
    <col min="3605" max="3605" width="10.19921875" style="32" customWidth="1"/>
    <col min="3606" max="3606" width="7" style="32" customWidth="1"/>
    <col min="3607" max="3607" width="9" style="32" customWidth="1"/>
    <col min="3608" max="3608" width="6.59765625" style="32" customWidth="1"/>
    <col min="3609" max="3609" width="8.8984375" style="32" customWidth="1"/>
    <col min="3610" max="3610" width="42.8984375" style="32" customWidth="1"/>
    <col min="3611" max="3850" width="10.19921875" style="32"/>
    <col min="3851" max="3851" width="3.59765625" style="32" customWidth="1"/>
    <col min="3852" max="3852" width="19.8984375" style="32" customWidth="1"/>
    <col min="3853" max="3853" width="5.59765625" style="32" customWidth="1"/>
    <col min="3854" max="3857" width="7.3984375" style="32" customWidth="1"/>
    <col min="3858" max="3858" width="9.8984375" style="32" customWidth="1"/>
    <col min="3859" max="3859" width="7.69921875" style="32" customWidth="1"/>
    <col min="3860" max="3860" width="5" style="32" customWidth="1"/>
    <col min="3861" max="3861" width="10.19921875" style="32" customWidth="1"/>
    <col min="3862" max="3862" width="7" style="32" customWidth="1"/>
    <col min="3863" max="3863" width="9" style="32" customWidth="1"/>
    <col min="3864" max="3864" width="6.59765625" style="32" customWidth="1"/>
    <col min="3865" max="3865" width="8.8984375" style="32" customWidth="1"/>
    <col min="3866" max="3866" width="42.8984375" style="32" customWidth="1"/>
    <col min="3867" max="4106" width="10.19921875" style="32"/>
    <col min="4107" max="4107" width="3.59765625" style="32" customWidth="1"/>
    <col min="4108" max="4108" width="19.8984375" style="32" customWidth="1"/>
    <col min="4109" max="4109" width="5.59765625" style="32" customWidth="1"/>
    <col min="4110" max="4113" width="7.3984375" style="32" customWidth="1"/>
    <col min="4114" max="4114" width="9.8984375" style="32" customWidth="1"/>
    <col min="4115" max="4115" width="7.69921875" style="32" customWidth="1"/>
    <col min="4116" max="4116" width="5" style="32" customWidth="1"/>
    <col min="4117" max="4117" width="10.19921875" style="32" customWidth="1"/>
    <col min="4118" max="4118" width="7" style="32" customWidth="1"/>
    <col min="4119" max="4119" width="9" style="32" customWidth="1"/>
    <col min="4120" max="4120" width="6.59765625" style="32" customWidth="1"/>
    <col min="4121" max="4121" width="8.8984375" style="32" customWidth="1"/>
    <col min="4122" max="4122" width="42.8984375" style="32" customWidth="1"/>
    <col min="4123" max="4362" width="10.19921875" style="32"/>
    <col min="4363" max="4363" width="3.59765625" style="32" customWidth="1"/>
    <col min="4364" max="4364" width="19.8984375" style="32" customWidth="1"/>
    <col min="4365" max="4365" width="5.59765625" style="32" customWidth="1"/>
    <col min="4366" max="4369" width="7.3984375" style="32" customWidth="1"/>
    <col min="4370" max="4370" width="9.8984375" style="32" customWidth="1"/>
    <col min="4371" max="4371" width="7.69921875" style="32" customWidth="1"/>
    <col min="4372" max="4372" width="5" style="32" customWidth="1"/>
    <col min="4373" max="4373" width="10.19921875" style="32" customWidth="1"/>
    <col min="4374" max="4374" width="7" style="32" customWidth="1"/>
    <col min="4375" max="4375" width="9" style="32" customWidth="1"/>
    <col min="4376" max="4376" width="6.59765625" style="32" customWidth="1"/>
    <col min="4377" max="4377" width="8.8984375" style="32" customWidth="1"/>
    <col min="4378" max="4378" width="42.8984375" style="32" customWidth="1"/>
    <col min="4379" max="4618" width="10.19921875" style="32"/>
    <col min="4619" max="4619" width="3.59765625" style="32" customWidth="1"/>
    <col min="4620" max="4620" width="19.8984375" style="32" customWidth="1"/>
    <col min="4621" max="4621" width="5.59765625" style="32" customWidth="1"/>
    <col min="4622" max="4625" width="7.3984375" style="32" customWidth="1"/>
    <col min="4626" max="4626" width="9.8984375" style="32" customWidth="1"/>
    <col min="4627" max="4627" width="7.69921875" style="32" customWidth="1"/>
    <col min="4628" max="4628" width="5" style="32" customWidth="1"/>
    <col min="4629" max="4629" width="10.19921875" style="32" customWidth="1"/>
    <col min="4630" max="4630" width="7" style="32" customWidth="1"/>
    <col min="4631" max="4631" width="9" style="32" customWidth="1"/>
    <col min="4632" max="4632" width="6.59765625" style="32" customWidth="1"/>
    <col min="4633" max="4633" width="8.8984375" style="32" customWidth="1"/>
    <col min="4634" max="4634" width="42.8984375" style="32" customWidth="1"/>
    <col min="4635" max="4874" width="10.19921875" style="32"/>
    <col min="4875" max="4875" width="3.59765625" style="32" customWidth="1"/>
    <col min="4876" max="4876" width="19.8984375" style="32" customWidth="1"/>
    <col min="4877" max="4877" width="5.59765625" style="32" customWidth="1"/>
    <col min="4878" max="4881" width="7.3984375" style="32" customWidth="1"/>
    <col min="4882" max="4882" width="9.8984375" style="32" customWidth="1"/>
    <col min="4883" max="4883" width="7.69921875" style="32" customWidth="1"/>
    <col min="4884" max="4884" width="5" style="32" customWidth="1"/>
    <col min="4885" max="4885" width="10.19921875" style="32" customWidth="1"/>
    <col min="4886" max="4886" width="7" style="32" customWidth="1"/>
    <col min="4887" max="4887" width="9" style="32" customWidth="1"/>
    <col min="4888" max="4888" width="6.59765625" style="32" customWidth="1"/>
    <col min="4889" max="4889" width="8.8984375" style="32" customWidth="1"/>
    <col min="4890" max="4890" width="42.8984375" style="32" customWidth="1"/>
    <col min="4891" max="5130" width="10.19921875" style="32"/>
    <col min="5131" max="5131" width="3.59765625" style="32" customWidth="1"/>
    <col min="5132" max="5132" width="19.8984375" style="32" customWidth="1"/>
    <col min="5133" max="5133" width="5.59765625" style="32" customWidth="1"/>
    <col min="5134" max="5137" width="7.3984375" style="32" customWidth="1"/>
    <col min="5138" max="5138" width="9.8984375" style="32" customWidth="1"/>
    <col min="5139" max="5139" width="7.69921875" style="32" customWidth="1"/>
    <col min="5140" max="5140" width="5" style="32" customWidth="1"/>
    <col min="5141" max="5141" width="10.19921875" style="32" customWidth="1"/>
    <col min="5142" max="5142" width="7" style="32" customWidth="1"/>
    <col min="5143" max="5143" width="9" style="32" customWidth="1"/>
    <col min="5144" max="5144" width="6.59765625" style="32" customWidth="1"/>
    <col min="5145" max="5145" width="8.8984375" style="32" customWidth="1"/>
    <col min="5146" max="5146" width="42.8984375" style="32" customWidth="1"/>
    <col min="5147" max="5386" width="10.19921875" style="32"/>
    <col min="5387" max="5387" width="3.59765625" style="32" customWidth="1"/>
    <col min="5388" max="5388" width="19.8984375" style="32" customWidth="1"/>
    <col min="5389" max="5389" width="5.59765625" style="32" customWidth="1"/>
    <col min="5390" max="5393" width="7.3984375" style="32" customWidth="1"/>
    <col min="5394" max="5394" width="9.8984375" style="32" customWidth="1"/>
    <col min="5395" max="5395" width="7.69921875" style="32" customWidth="1"/>
    <col min="5396" max="5396" width="5" style="32" customWidth="1"/>
    <col min="5397" max="5397" width="10.19921875" style="32" customWidth="1"/>
    <col min="5398" max="5398" width="7" style="32" customWidth="1"/>
    <col min="5399" max="5399" width="9" style="32" customWidth="1"/>
    <col min="5400" max="5400" width="6.59765625" style="32" customWidth="1"/>
    <col min="5401" max="5401" width="8.8984375" style="32" customWidth="1"/>
    <col min="5402" max="5402" width="42.8984375" style="32" customWidth="1"/>
    <col min="5403" max="5642" width="10.19921875" style="32"/>
    <col min="5643" max="5643" width="3.59765625" style="32" customWidth="1"/>
    <col min="5644" max="5644" width="19.8984375" style="32" customWidth="1"/>
    <col min="5645" max="5645" width="5.59765625" style="32" customWidth="1"/>
    <col min="5646" max="5649" width="7.3984375" style="32" customWidth="1"/>
    <col min="5650" max="5650" width="9.8984375" style="32" customWidth="1"/>
    <col min="5651" max="5651" width="7.69921875" style="32" customWidth="1"/>
    <col min="5652" max="5652" width="5" style="32" customWidth="1"/>
    <col min="5653" max="5653" width="10.19921875" style="32" customWidth="1"/>
    <col min="5654" max="5654" width="7" style="32" customWidth="1"/>
    <col min="5655" max="5655" width="9" style="32" customWidth="1"/>
    <col min="5656" max="5656" width="6.59765625" style="32" customWidth="1"/>
    <col min="5657" max="5657" width="8.8984375" style="32" customWidth="1"/>
    <col min="5658" max="5658" width="42.8984375" style="32" customWidth="1"/>
    <col min="5659" max="5898" width="10.19921875" style="32"/>
    <col min="5899" max="5899" width="3.59765625" style="32" customWidth="1"/>
    <col min="5900" max="5900" width="19.8984375" style="32" customWidth="1"/>
    <col min="5901" max="5901" width="5.59765625" style="32" customWidth="1"/>
    <col min="5902" max="5905" width="7.3984375" style="32" customWidth="1"/>
    <col min="5906" max="5906" width="9.8984375" style="32" customWidth="1"/>
    <col min="5907" max="5907" width="7.69921875" style="32" customWidth="1"/>
    <col min="5908" max="5908" width="5" style="32" customWidth="1"/>
    <col min="5909" max="5909" width="10.19921875" style="32" customWidth="1"/>
    <col min="5910" max="5910" width="7" style="32" customWidth="1"/>
    <col min="5911" max="5911" width="9" style="32" customWidth="1"/>
    <col min="5912" max="5912" width="6.59765625" style="32" customWidth="1"/>
    <col min="5913" max="5913" width="8.8984375" style="32" customWidth="1"/>
    <col min="5914" max="5914" width="42.8984375" style="32" customWidth="1"/>
    <col min="5915" max="6154" width="10.19921875" style="32"/>
    <col min="6155" max="6155" width="3.59765625" style="32" customWidth="1"/>
    <col min="6156" max="6156" width="19.8984375" style="32" customWidth="1"/>
    <col min="6157" max="6157" width="5.59765625" style="32" customWidth="1"/>
    <col min="6158" max="6161" width="7.3984375" style="32" customWidth="1"/>
    <col min="6162" max="6162" width="9.8984375" style="32" customWidth="1"/>
    <col min="6163" max="6163" width="7.69921875" style="32" customWidth="1"/>
    <col min="6164" max="6164" width="5" style="32" customWidth="1"/>
    <col min="6165" max="6165" width="10.19921875" style="32" customWidth="1"/>
    <col min="6166" max="6166" width="7" style="32" customWidth="1"/>
    <col min="6167" max="6167" width="9" style="32" customWidth="1"/>
    <col min="6168" max="6168" width="6.59765625" style="32" customWidth="1"/>
    <col min="6169" max="6169" width="8.8984375" style="32" customWidth="1"/>
    <col min="6170" max="6170" width="42.8984375" style="32" customWidth="1"/>
    <col min="6171" max="6410" width="10.19921875" style="32"/>
    <col min="6411" max="6411" width="3.59765625" style="32" customWidth="1"/>
    <col min="6412" max="6412" width="19.8984375" style="32" customWidth="1"/>
    <col min="6413" max="6413" width="5.59765625" style="32" customWidth="1"/>
    <col min="6414" max="6417" width="7.3984375" style="32" customWidth="1"/>
    <col min="6418" max="6418" width="9.8984375" style="32" customWidth="1"/>
    <col min="6419" max="6419" width="7.69921875" style="32" customWidth="1"/>
    <col min="6420" max="6420" width="5" style="32" customWidth="1"/>
    <col min="6421" max="6421" width="10.19921875" style="32" customWidth="1"/>
    <col min="6422" max="6422" width="7" style="32" customWidth="1"/>
    <col min="6423" max="6423" width="9" style="32" customWidth="1"/>
    <col min="6424" max="6424" width="6.59765625" style="32" customWidth="1"/>
    <col min="6425" max="6425" width="8.8984375" style="32" customWidth="1"/>
    <col min="6426" max="6426" width="42.8984375" style="32" customWidth="1"/>
    <col min="6427" max="6666" width="10.19921875" style="32"/>
    <col min="6667" max="6667" width="3.59765625" style="32" customWidth="1"/>
    <col min="6668" max="6668" width="19.8984375" style="32" customWidth="1"/>
    <col min="6669" max="6669" width="5.59765625" style="32" customWidth="1"/>
    <col min="6670" max="6673" width="7.3984375" style="32" customWidth="1"/>
    <col min="6674" max="6674" width="9.8984375" style="32" customWidth="1"/>
    <col min="6675" max="6675" width="7.69921875" style="32" customWidth="1"/>
    <col min="6676" max="6676" width="5" style="32" customWidth="1"/>
    <col min="6677" max="6677" width="10.19921875" style="32" customWidth="1"/>
    <col min="6678" max="6678" width="7" style="32" customWidth="1"/>
    <col min="6679" max="6679" width="9" style="32" customWidth="1"/>
    <col min="6680" max="6680" width="6.59765625" style="32" customWidth="1"/>
    <col min="6681" max="6681" width="8.8984375" style="32" customWidth="1"/>
    <col min="6682" max="6682" width="42.8984375" style="32" customWidth="1"/>
    <col min="6683" max="6922" width="10.19921875" style="32"/>
    <col min="6923" max="6923" width="3.59765625" style="32" customWidth="1"/>
    <col min="6924" max="6924" width="19.8984375" style="32" customWidth="1"/>
    <col min="6925" max="6925" width="5.59765625" style="32" customWidth="1"/>
    <col min="6926" max="6929" width="7.3984375" style="32" customWidth="1"/>
    <col min="6930" max="6930" width="9.8984375" style="32" customWidth="1"/>
    <col min="6931" max="6931" width="7.69921875" style="32" customWidth="1"/>
    <col min="6932" max="6932" width="5" style="32" customWidth="1"/>
    <col min="6933" max="6933" width="10.19921875" style="32" customWidth="1"/>
    <col min="6934" max="6934" width="7" style="32" customWidth="1"/>
    <col min="6935" max="6935" width="9" style="32" customWidth="1"/>
    <col min="6936" max="6936" width="6.59765625" style="32" customWidth="1"/>
    <col min="6937" max="6937" width="8.8984375" style="32" customWidth="1"/>
    <col min="6938" max="6938" width="42.8984375" style="32" customWidth="1"/>
    <col min="6939" max="7178" width="10.19921875" style="32"/>
    <col min="7179" max="7179" width="3.59765625" style="32" customWidth="1"/>
    <col min="7180" max="7180" width="19.8984375" style="32" customWidth="1"/>
    <col min="7181" max="7181" width="5.59765625" style="32" customWidth="1"/>
    <col min="7182" max="7185" width="7.3984375" style="32" customWidth="1"/>
    <col min="7186" max="7186" width="9.8984375" style="32" customWidth="1"/>
    <col min="7187" max="7187" width="7.69921875" style="32" customWidth="1"/>
    <col min="7188" max="7188" width="5" style="32" customWidth="1"/>
    <col min="7189" max="7189" width="10.19921875" style="32" customWidth="1"/>
    <col min="7190" max="7190" width="7" style="32" customWidth="1"/>
    <col min="7191" max="7191" width="9" style="32" customWidth="1"/>
    <col min="7192" max="7192" width="6.59765625" style="32" customWidth="1"/>
    <col min="7193" max="7193" width="8.8984375" style="32" customWidth="1"/>
    <col min="7194" max="7194" width="42.8984375" style="32" customWidth="1"/>
    <col min="7195" max="7434" width="10.19921875" style="32"/>
    <col min="7435" max="7435" width="3.59765625" style="32" customWidth="1"/>
    <col min="7436" max="7436" width="19.8984375" style="32" customWidth="1"/>
    <col min="7437" max="7437" width="5.59765625" style="32" customWidth="1"/>
    <col min="7438" max="7441" width="7.3984375" style="32" customWidth="1"/>
    <col min="7442" max="7442" width="9.8984375" style="32" customWidth="1"/>
    <col min="7443" max="7443" width="7.69921875" style="32" customWidth="1"/>
    <col min="7444" max="7444" width="5" style="32" customWidth="1"/>
    <col min="7445" max="7445" width="10.19921875" style="32" customWidth="1"/>
    <col min="7446" max="7446" width="7" style="32" customWidth="1"/>
    <col min="7447" max="7447" width="9" style="32" customWidth="1"/>
    <col min="7448" max="7448" width="6.59765625" style="32" customWidth="1"/>
    <col min="7449" max="7449" width="8.8984375" style="32" customWidth="1"/>
    <col min="7450" max="7450" width="42.8984375" style="32" customWidth="1"/>
    <col min="7451" max="7690" width="10.19921875" style="32"/>
    <col min="7691" max="7691" width="3.59765625" style="32" customWidth="1"/>
    <col min="7692" max="7692" width="19.8984375" style="32" customWidth="1"/>
    <col min="7693" max="7693" width="5.59765625" style="32" customWidth="1"/>
    <col min="7694" max="7697" width="7.3984375" style="32" customWidth="1"/>
    <col min="7698" max="7698" width="9.8984375" style="32" customWidth="1"/>
    <col min="7699" max="7699" width="7.69921875" style="32" customWidth="1"/>
    <col min="7700" max="7700" width="5" style="32" customWidth="1"/>
    <col min="7701" max="7701" width="10.19921875" style="32" customWidth="1"/>
    <col min="7702" max="7702" width="7" style="32" customWidth="1"/>
    <col min="7703" max="7703" width="9" style="32" customWidth="1"/>
    <col min="7704" max="7704" width="6.59765625" style="32" customWidth="1"/>
    <col min="7705" max="7705" width="8.8984375" style="32" customWidth="1"/>
    <col min="7706" max="7706" width="42.8984375" style="32" customWidth="1"/>
    <col min="7707" max="7946" width="10.19921875" style="32"/>
    <col min="7947" max="7947" width="3.59765625" style="32" customWidth="1"/>
    <col min="7948" max="7948" width="19.8984375" style="32" customWidth="1"/>
    <col min="7949" max="7949" width="5.59765625" style="32" customWidth="1"/>
    <col min="7950" max="7953" width="7.3984375" style="32" customWidth="1"/>
    <col min="7954" max="7954" width="9.8984375" style="32" customWidth="1"/>
    <col min="7955" max="7955" width="7.69921875" style="32" customWidth="1"/>
    <col min="7956" max="7956" width="5" style="32" customWidth="1"/>
    <col min="7957" max="7957" width="10.19921875" style="32" customWidth="1"/>
    <col min="7958" max="7958" width="7" style="32" customWidth="1"/>
    <col min="7959" max="7959" width="9" style="32" customWidth="1"/>
    <col min="7960" max="7960" width="6.59765625" style="32" customWidth="1"/>
    <col min="7961" max="7961" width="8.8984375" style="32" customWidth="1"/>
    <col min="7962" max="7962" width="42.8984375" style="32" customWidth="1"/>
    <col min="7963" max="8202" width="10.19921875" style="32"/>
    <col min="8203" max="8203" width="3.59765625" style="32" customWidth="1"/>
    <col min="8204" max="8204" width="19.8984375" style="32" customWidth="1"/>
    <col min="8205" max="8205" width="5.59765625" style="32" customWidth="1"/>
    <col min="8206" max="8209" width="7.3984375" style="32" customWidth="1"/>
    <col min="8210" max="8210" width="9.8984375" style="32" customWidth="1"/>
    <col min="8211" max="8211" width="7.69921875" style="32" customWidth="1"/>
    <col min="8212" max="8212" width="5" style="32" customWidth="1"/>
    <col min="8213" max="8213" width="10.19921875" style="32" customWidth="1"/>
    <col min="8214" max="8214" width="7" style="32" customWidth="1"/>
    <col min="8215" max="8215" width="9" style="32" customWidth="1"/>
    <col min="8216" max="8216" width="6.59765625" style="32" customWidth="1"/>
    <col min="8217" max="8217" width="8.8984375" style="32" customWidth="1"/>
    <col min="8218" max="8218" width="42.8984375" style="32" customWidth="1"/>
    <col min="8219" max="8458" width="10.19921875" style="32"/>
    <col min="8459" max="8459" width="3.59765625" style="32" customWidth="1"/>
    <col min="8460" max="8460" width="19.8984375" style="32" customWidth="1"/>
    <col min="8461" max="8461" width="5.59765625" style="32" customWidth="1"/>
    <col min="8462" max="8465" width="7.3984375" style="32" customWidth="1"/>
    <col min="8466" max="8466" width="9.8984375" style="32" customWidth="1"/>
    <col min="8467" max="8467" width="7.69921875" style="32" customWidth="1"/>
    <col min="8468" max="8468" width="5" style="32" customWidth="1"/>
    <col min="8469" max="8469" width="10.19921875" style="32" customWidth="1"/>
    <col min="8470" max="8470" width="7" style="32" customWidth="1"/>
    <col min="8471" max="8471" width="9" style="32" customWidth="1"/>
    <col min="8472" max="8472" width="6.59765625" style="32" customWidth="1"/>
    <col min="8473" max="8473" width="8.8984375" style="32" customWidth="1"/>
    <col min="8474" max="8474" width="42.8984375" style="32" customWidth="1"/>
    <col min="8475" max="8714" width="10.19921875" style="32"/>
    <col min="8715" max="8715" width="3.59765625" style="32" customWidth="1"/>
    <col min="8716" max="8716" width="19.8984375" style="32" customWidth="1"/>
    <col min="8717" max="8717" width="5.59765625" style="32" customWidth="1"/>
    <col min="8718" max="8721" width="7.3984375" style="32" customWidth="1"/>
    <col min="8722" max="8722" width="9.8984375" style="32" customWidth="1"/>
    <col min="8723" max="8723" width="7.69921875" style="32" customWidth="1"/>
    <col min="8724" max="8724" width="5" style="32" customWidth="1"/>
    <col min="8725" max="8725" width="10.19921875" style="32" customWidth="1"/>
    <col min="8726" max="8726" width="7" style="32" customWidth="1"/>
    <col min="8727" max="8727" width="9" style="32" customWidth="1"/>
    <col min="8728" max="8728" width="6.59765625" style="32" customWidth="1"/>
    <col min="8729" max="8729" width="8.8984375" style="32" customWidth="1"/>
    <col min="8730" max="8730" width="42.8984375" style="32" customWidth="1"/>
    <col min="8731" max="8970" width="10.19921875" style="32"/>
    <col min="8971" max="8971" width="3.59765625" style="32" customWidth="1"/>
    <col min="8972" max="8972" width="19.8984375" style="32" customWidth="1"/>
    <col min="8973" max="8973" width="5.59765625" style="32" customWidth="1"/>
    <col min="8974" max="8977" width="7.3984375" style="32" customWidth="1"/>
    <col min="8978" max="8978" width="9.8984375" style="32" customWidth="1"/>
    <col min="8979" max="8979" width="7.69921875" style="32" customWidth="1"/>
    <col min="8980" max="8980" width="5" style="32" customWidth="1"/>
    <col min="8981" max="8981" width="10.19921875" style="32" customWidth="1"/>
    <col min="8982" max="8982" width="7" style="32" customWidth="1"/>
    <col min="8983" max="8983" width="9" style="32" customWidth="1"/>
    <col min="8984" max="8984" width="6.59765625" style="32" customWidth="1"/>
    <col min="8985" max="8985" width="8.8984375" style="32" customWidth="1"/>
    <col min="8986" max="8986" width="42.8984375" style="32" customWidth="1"/>
    <col min="8987" max="9226" width="10.19921875" style="32"/>
    <col min="9227" max="9227" width="3.59765625" style="32" customWidth="1"/>
    <col min="9228" max="9228" width="19.8984375" style="32" customWidth="1"/>
    <col min="9229" max="9229" width="5.59765625" style="32" customWidth="1"/>
    <col min="9230" max="9233" width="7.3984375" style="32" customWidth="1"/>
    <col min="9234" max="9234" width="9.8984375" style="32" customWidth="1"/>
    <col min="9235" max="9235" width="7.69921875" style="32" customWidth="1"/>
    <col min="9236" max="9236" width="5" style="32" customWidth="1"/>
    <col min="9237" max="9237" width="10.19921875" style="32" customWidth="1"/>
    <col min="9238" max="9238" width="7" style="32" customWidth="1"/>
    <col min="9239" max="9239" width="9" style="32" customWidth="1"/>
    <col min="9240" max="9240" width="6.59765625" style="32" customWidth="1"/>
    <col min="9241" max="9241" width="8.8984375" style="32" customWidth="1"/>
    <col min="9242" max="9242" width="42.8984375" style="32" customWidth="1"/>
    <col min="9243" max="9482" width="10.19921875" style="32"/>
    <col min="9483" max="9483" width="3.59765625" style="32" customWidth="1"/>
    <col min="9484" max="9484" width="19.8984375" style="32" customWidth="1"/>
    <col min="9485" max="9485" width="5.59765625" style="32" customWidth="1"/>
    <col min="9486" max="9489" width="7.3984375" style="32" customWidth="1"/>
    <col min="9490" max="9490" width="9.8984375" style="32" customWidth="1"/>
    <col min="9491" max="9491" width="7.69921875" style="32" customWidth="1"/>
    <col min="9492" max="9492" width="5" style="32" customWidth="1"/>
    <col min="9493" max="9493" width="10.19921875" style="32" customWidth="1"/>
    <col min="9494" max="9494" width="7" style="32" customWidth="1"/>
    <col min="9495" max="9495" width="9" style="32" customWidth="1"/>
    <col min="9496" max="9496" width="6.59765625" style="32" customWidth="1"/>
    <col min="9497" max="9497" width="8.8984375" style="32" customWidth="1"/>
    <col min="9498" max="9498" width="42.8984375" style="32" customWidth="1"/>
    <col min="9499" max="9738" width="10.19921875" style="32"/>
    <col min="9739" max="9739" width="3.59765625" style="32" customWidth="1"/>
    <col min="9740" max="9740" width="19.8984375" style="32" customWidth="1"/>
    <col min="9741" max="9741" width="5.59765625" style="32" customWidth="1"/>
    <col min="9742" max="9745" width="7.3984375" style="32" customWidth="1"/>
    <col min="9746" max="9746" width="9.8984375" style="32" customWidth="1"/>
    <col min="9747" max="9747" width="7.69921875" style="32" customWidth="1"/>
    <col min="9748" max="9748" width="5" style="32" customWidth="1"/>
    <col min="9749" max="9749" width="10.19921875" style="32" customWidth="1"/>
    <col min="9750" max="9750" width="7" style="32" customWidth="1"/>
    <col min="9751" max="9751" width="9" style="32" customWidth="1"/>
    <col min="9752" max="9752" width="6.59765625" style="32" customWidth="1"/>
    <col min="9753" max="9753" width="8.8984375" style="32" customWidth="1"/>
    <col min="9754" max="9754" width="42.8984375" style="32" customWidth="1"/>
    <col min="9755" max="9994" width="10.19921875" style="32"/>
    <col min="9995" max="9995" width="3.59765625" style="32" customWidth="1"/>
    <col min="9996" max="9996" width="19.8984375" style="32" customWidth="1"/>
    <col min="9997" max="9997" width="5.59765625" style="32" customWidth="1"/>
    <col min="9998" max="10001" width="7.3984375" style="32" customWidth="1"/>
    <col min="10002" max="10002" width="9.8984375" style="32" customWidth="1"/>
    <col min="10003" max="10003" width="7.69921875" style="32" customWidth="1"/>
    <col min="10004" max="10004" width="5" style="32" customWidth="1"/>
    <col min="10005" max="10005" width="10.19921875" style="32" customWidth="1"/>
    <col min="10006" max="10006" width="7" style="32" customWidth="1"/>
    <col min="10007" max="10007" width="9" style="32" customWidth="1"/>
    <col min="10008" max="10008" width="6.59765625" style="32" customWidth="1"/>
    <col min="10009" max="10009" width="8.8984375" style="32" customWidth="1"/>
    <col min="10010" max="10010" width="42.8984375" style="32" customWidth="1"/>
    <col min="10011" max="10250" width="10.19921875" style="32"/>
    <col min="10251" max="10251" width="3.59765625" style="32" customWidth="1"/>
    <col min="10252" max="10252" width="19.8984375" style="32" customWidth="1"/>
    <col min="10253" max="10253" width="5.59765625" style="32" customWidth="1"/>
    <col min="10254" max="10257" width="7.3984375" style="32" customWidth="1"/>
    <col min="10258" max="10258" width="9.8984375" style="32" customWidth="1"/>
    <col min="10259" max="10259" width="7.69921875" style="32" customWidth="1"/>
    <col min="10260" max="10260" width="5" style="32" customWidth="1"/>
    <col min="10261" max="10261" width="10.19921875" style="32" customWidth="1"/>
    <col min="10262" max="10262" width="7" style="32" customWidth="1"/>
    <col min="10263" max="10263" width="9" style="32" customWidth="1"/>
    <col min="10264" max="10264" width="6.59765625" style="32" customWidth="1"/>
    <col min="10265" max="10265" width="8.8984375" style="32" customWidth="1"/>
    <col min="10266" max="10266" width="42.8984375" style="32" customWidth="1"/>
    <col min="10267" max="10506" width="10.19921875" style="32"/>
    <col min="10507" max="10507" width="3.59765625" style="32" customWidth="1"/>
    <col min="10508" max="10508" width="19.8984375" style="32" customWidth="1"/>
    <col min="10509" max="10509" width="5.59765625" style="32" customWidth="1"/>
    <col min="10510" max="10513" width="7.3984375" style="32" customWidth="1"/>
    <col min="10514" max="10514" width="9.8984375" style="32" customWidth="1"/>
    <col min="10515" max="10515" width="7.69921875" style="32" customWidth="1"/>
    <col min="10516" max="10516" width="5" style="32" customWidth="1"/>
    <col min="10517" max="10517" width="10.19921875" style="32" customWidth="1"/>
    <col min="10518" max="10518" width="7" style="32" customWidth="1"/>
    <col min="10519" max="10519" width="9" style="32" customWidth="1"/>
    <col min="10520" max="10520" width="6.59765625" style="32" customWidth="1"/>
    <col min="10521" max="10521" width="8.8984375" style="32" customWidth="1"/>
    <col min="10522" max="10522" width="42.8984375" style="32" customWidth="1"/>
    <col min="10523" max="10762" width="10.19921875" style="32"/>
    <col min="10763" max="10763" width="3.59765625" style="32" customWidth="1"/>
    <col min="10764" max="10764" width="19.8984375" style="32" customWidth="1"/>
    <col min="10765" max="10765" width="5.59765625" style="32" customWidth="1"/>
    <col min="10766" max="10769" width="7.3984375" style="32" customWidth="1"/>
    <col min="10770" max="10770" width="9.8984375" style="32" customWidth="1"/>
    <col min="10771" max="10771" width="7.69921875" style="32" customWidth="1"/>
    <col min="10772" max="10772" width="5" style="32" customWidth="1"/>
    <col min="10773" max="10773" width="10.19921875" style="32" customWidth="1"/>
    <col min="10774" max="10774" width="7" style="32" customWidth="1"/>
    <col min="10775" max="10775" width="9" style="32" customWidth="1"/>
    <col min="10776" max="10776" width="6.59765625" style="32" customWidth="1"/>
    <col min="10777" max="10777" width="8.8984375" style="32" customWidth="1"/>
    <col min="10778" max="10778" width="42.8984375" style="32" customWidth="1"/>
    <col min="10779" max="11018" width="10.19921875" style="32"/>
    <col min="11019" max="11019" width="3.59765625" style="32" customWidth="1"/>
    <col min="11020" max="11020" width="19.8984375" style="32" customWidth="1"/>
    <col min="11021" max="11021" width="5.59765625" style="32" customWidth="1"/>
    <col min="11022" max="11025" width="7.3984375" style="32" customWidth="1"/>
    <col min="11026" max="11026" width="9.8984375" style="32" customWidth="1"/>
    <col min="11027" max="11027" width="7.69921875" style="32" customWidth="1"/>
    <col min="11028" max="11028" width="5" style="32" customWidth="1"/>
    <col min="11029" max="11029" width="10.19921875" style="32" customWidth="1"/>
    <col min="11030" max="11030" width="7" style="32" customWidth="1"/>
    <col min="11031" max="11031" width="9" style="32" customWidth="1"/>
    <col min="11032" max="11032" width="6.59765625" style="32" customWidth="1"/>
    <col min="11033" max="11033" width="8.8984375" style="32" customWidth="1"/>
    <col min="11034" max="11034" width="42.8984375" style="32" customWidth="1"/>
    <col min="11035" max="11274" width="10.19921875" style="32"/>
    <col min="11275" max="11275" width="3.59765625" style="32" customWidth="1"/>
    <col min="11276" max="11276" width="19.8984375" style="32" customWidth="1"/>
    <col min="11277" max="11277" width="5.59765625" style="32" customWidth="1"/>
    <col min="11278" max="11281" width="7.3984375" style="32" customWidth="1"/>
    <col min="11282" max="11282" width="9.8984375" style="32" customWidth="1"/>
    <col min="11283" max="11283" width="7.69921875" style="32" customWidth="1"/>
    <col min="11284" max="11284" width="5" style="32" customWidth="1"/>
    <col min="11285" max="11285" width="10.19921875" style="32" customWidth="1"/>
    <col min="11286" max="11286" width="7" style="32" customWidth="1"/>
    <col min="11287" max="11287" width="9" style="32" customWidth="1"/>
    <col min="11288" max="11288" width="6.59765625" style="32" customWidth="1"/>
    <col min="11289" max="11289" width="8.8984375" style="32" customWidth="1"/>
    <col min="11290" max="11290" width="42.8984375" style="32" customWidth="1"/>
    <col min="11291" max="11530" width="10.19921875" style="32"/>
    <col min="11531" max="11531" width="3.59765625" style="32" customWidth="1"/>
    <col min="11532" max="11532" width="19.8984375" style="32" customWidth="1"/>
    <col min="11533" max="11533" width="5.59765625" style="32" customWidth="1"/>
    <col min="11534" max="11537" width="7.3984375" style="32" customWidth="1"/>
    <col min="11538" max="11538" width="9.8984375" style="32" customWidth="1"/>
    <col min="11539" max="11539" width="7.69921875" style="32" customWidth="1"/>
    <col min="11540" max="11540" width="5" style="32" customWidth="1"/>
    <col min="11541" max="11541" width="10.19921875" style="32" customWidth="1"/>
    <col min="11542" max="11542" width="7" style="32" customWidth="1"/>
    <col min="11543" max="11543" width="9" style="32" customWidth="1"/>
    <col min="11544" max="11544" width="6.59765625" style="32" customWidth="1"/>
    <col min="11545" max="11545" width="8.8984375" style="32" customWidth="1"/>
    <col min="11546" max="11546" width="42.8984375" style="32" customWidth="1"/>
    <col min="11547" max="11786" width="10.19921875" style="32"/>
    <col min="11787" max="11787" width="3.59765625" style="32" customWidth="1"/>
    <col min="11788" max="11788" width="19.8984375" style="32" customWidth="1"/>
    <col min="11789" max="11789" width="5.59765625" style="32" customWidth="1"/>
    <col min="11790" max="11793" width="7.3984375" style="32" customWidth="1"/>
    <col min="11794" max="11794" width="9.8984375" style="32" customWidth="1"/>
    <col min="11795" max="11795" width="7.69921875" style="32" customWidth="1"/>
    <col min="11796" max="11796" width="5" style="32" customWidth="1"/>
    <col min="11797" max="11797" width="10.19921875" style="32" customWidth="1"/>
    <col min="11798" max="11798" width="7" style="32" customWidth="1"/>
    <col min="11799" max="11799" width="9" style="32" customWidth="1"/>
    <col min="11800" max="11800" width="6.59765625" style="32" customWidth="1"/>
    <col min="11801" max="11801" width="8.8984375" style="32" customWidth="1"/>
    <col min="11802" max="11802" width="42.8984375" style="32" customWidth="1"/>
    <col min="11803" max="12042" width="10.19921875" style="32"/>
    <col min="12043" max="12043" width="3.59765625" style="32" customWidth="1"/>
    <col min="12044" max="12044" width="19.8984375" style="32" customWidth="1"/>
    <col min="12045" max="12045" width="5.59765625" style="32" customWidth="1"/>
    <col min="12046" max="12049" width="7.3984375" style="32" customWidth="1"/>
    <col min="12050" max="12050" width="9.8984375" style="32" customWidth="1"/>
    <col min="12051" max="12051" width="7.69921875" style="32" customWidth="1"/>
    <col min="12052" max="12052" width="5" style="32" customWidth="1"/>
    <col min="12053" max="12053" width="10.19921875" style="32" customWidth="1"/>
    <col min="12054" max="12054" width="7" style="32" customWidth="1"/>
    <col min="12055" max="12055" width="9" style="32" customWidth="1"/>
    <col min="12056" max="12056" width="6.59765625" style="32" customWidth="1"/>
    <col min="12057" max="12057" width="8.8984375" style="32" customWidth="1"/>
    <col min="12058" max="12058" width="42.8984375" style="32" customWidth="1"/>
    <col min="12059" max="12298" width="10.19921875" style="32"/>
    <col min="12299" max="12299" width="3.59765625" style="32" customWidth="1"/>
    <col min="12300" max="12300" width="19.8984375" style="32" customWidth="1"/>
    <col min="12301" max="12301" width="5.59765625" style="32" customWidth="1"/>
    <col min="12302" max="12305" width="7.3984375" style="32" customWidth="1"/>
    <col min="12306" max="12306" width="9.8984375" style="32" customWidth="1"/>
    <col min="12307" max="12307" width="7.69921875" style="32" customWidth="1"/>
    <col min="12308" max="12308" width="5" style="32" customWidth="1"/>
    <col min="12309" max="12309" width="10.19921875" style="32" customWidth="1"/>
    <col min="12310" max="12310" width="7" style="32" customWidth="1"/>
    <col min="12311" max="12311" width="9" style="32" customWidth="1"/>
    <col min="12312" max="12312" width="6.59765625" style="32" customWidth="1"/>
    <col min="12313" max="12313" width="8.8984375" style="32" customWidth="1"/>
    <col min="12314" max="12314" width="42.8984375" style="32" customWidth="1"/>
    <col min="12315" max="12554" width="10.19921875" style="32"/>
    <col min="12555" max="12555" width="3.59765625" style="32" customWidth="1"/>
    <col min="12556" max="12556" width="19.8984375" style="32" customWidth="1"/>
    <col min="12557" max="12557" width="5.59765625" style="32" customWidth="1"/>
    <col min="12558" max="12561" width="7.3984375" style="32" customWidth="1"/>
    <col min="12562" max="12562" width="9.8984375" style="32" customWidth="1"/>
    <col min="12563" max="12563" width="7.69921875" style="32" customWidth="1"/>
    <col min="12564" max="12564" width="5" style="32" customWidth="1"/>
    <col min="12565" max="12565" width="10.19921875" style="32" customWidth="1"/>
    <col min="12566" max="12566" width="7" style="32" customWidth="1"/>
    <col min="12567" max="12567" width="9" style="32" customWidth="1"/>
    <col min="12568" max="12568" width="6.59765625" style="32" customWidth="1"/>
    <col min="12569" max="12569" width="8.8984375" style="32" customWidth="1"/>
    <col min="12570" max="12570" width="42.8984375" style="32" customWidth="1"/>
    <col min="12571" max="12810" width="10.19921875" style="32"/>
    <col min="12811" max="12811" width="3.59765625" style="32" customWidth="1"/>
    <col min="12812" max="12812" width="19.8984375" style="32" customWidth="1"/>
    <col min="12813" max="12813" width="5.59765625" style="32" customWidth="1"/>
    <col min="12814" max="12817" width="7.3984375" style="32" customWidth="1"/>
    <col min="12818" max="12818" width="9.8984375" style="32" customWidth="1"/>
    <col min="12819" max="12819" width="7.69921875" style="32" customWidth="1"/>
    <col min="12820" max="12820" width="5" style="32" customWidth="1"/>
    <col min="12821" max="12821" width="10.19921875" style="32" customWidth="1"/>
    <col min="12822" max="12822" width="7" style="32" customWidth="1"/>
    <col min="12823" max="12823" width="9" style="32" customWidth="1"/>
    <col min="12824" max="12824" width="6.59765625" style="32" customWidth="1"/>
    <col min="12825" max="12825" width="8.8984375" style="32" customWidth="1"/>
    <col min="12826" max="12826" width="42.8984375" style="32" customWidth="1"/>
    <col min="12827" max="13066" width="10.19921875" style="32"/>
    <col min="13067" max="13067" width="3.59765625" style="32" customWidth="1"/>
    <col min="13068" max="13068" width="19.8984375" style="32" customWidth="1"/>
    <col min="13069" max="13069" width="5.59765625" style="32" customWidth="1"/>
    <col min="13070" max="13073" width="7.3984375" style="32" customWidth="1"/>
    <col min="13074" max="13074" width="9.8984375" style="32" customWidth="1"/>
    <col min="13075" max="13075" width="7.69921875" style="32" customWidth="1"/>
    <col min="13076" max="13076" width="5" style="32" customWidth="1"/>
    <col min="13077" max="13077" width="10.19921875" style="32" customWidth="1"/>
    <col min="13078" max="13078" width="7" style="32" customWidth="1"/>
    <col min="13079" max="13079" width="9" style="32" customWidth="1"/>
    <col min="13080" max="13080" width="6.59765625" style="32" customWidth="1"/>
    <col min="13081" max="13081" width="8.8984375" style="32" customWidth="1"/>
    <col min="13082" max="13082" width="42.8984375" style="32" customWidth="1"/>
    <col min="13083" max="13322" width="10.19921875" style="32"/>
    <col min="13323" max="13323" width="3.59765625" style="32" customWidth="1"/>
    <col min="13324" max="13324" width="19.8984375" style="32" customWidth="1"/>
    <col min="13325" max="13325" width="5.59765625" style="32" customWidth="1"/>
    <col min="13326" max="13329" width="7.3984375" style="32" customWidth="1"/>
    <col min="13330" max="13330" width="9.8984375" style="32" customWidth="1"/>
    <col min="13331" max="13331" width="7.69921875" style="32" customWidth="1"/>
    <col min="13332" max="13332" width="5" style="32" customWidth="1"/>
    <col min="13333" max="13333" width="10.19921875" style="32" customWidth="1"/>
    <col min="13334" max="13334" width="7" style="32" customWidth="1"/>
    <col min="13335" max="13335" width="9" style="32" customWidth="1"/>
    <col min="13336" max="13336" width="6.59765625" style="32" customWidth="1"/>
    <col min="13337" max="13337" width="8.8984375" style="32" customWidth="1"/>
    <col min="13338" max="13338" width="42.8984375" style="32" customWidth="1"/>
    <col min="13339" max="13578" width="10.19921875" style="32"/>
    <col min="13579" max="13579" width="3.59765625" style="32" customWidth="1"/>
    <col min="13580" max="13580" width="19.8984375" style="32" customWidth="1"/>
    <col min="13581" max="13581" width="5.59765625" style="32" customWidth="1"/>
    <col min="13582" max="13585" width="7.3984375" style="32" customWidth="1"/>
    <col min="13586" max="13586" width="9.8984375" style="32" customWidth="1"/>
    <col min="13587" max="13587" width="7.69921875" style="32" customWidth="1"/>
    <col min="13588" max="13588" width="5" style="32" customWidth="1"/>
    <col min="13589" max="13589" width="10.19921875" style="32" customWidth="1"/>
    <col min="13590" max="13590" width="7" style="32" customWidth="1"/>
    <col min="13591" max="13591" width="9" style="32" customWidth="1"/>
    <col min="13592" max="13592" width="6.59765625" style="32" customWidth="1"/>
    <col min="13593" max="13593" width="8.8984375" style="32" customWidth="1"/>
    <col min="13594" max="13594" width="42.8984375" style="32" customWidth="1"/>
    <col min="13595" max="13834" width="10.19921875" style="32"/>
    <col min="13835" max="13835" width="3.59765625" style="32" customWidth="1"/>
    <col min="13836" max="13836" width="19.8984375" style="32" customWidth="1"/>
    <col min="13837" max="13837" width="5.59765625" style="32" customWidth="1"/>
    <col min="13838" max="13841" width="7.3984375" style="32" customWidth="1"/>
    <col min="13842" max="13842" width="9.8984375" style="32" customWidth="1"/>
    <col min="13843" max="13843" width="7.69921875" style="32" customWidth="1"/>
    <col min="13844" max="13844" width="5" style="32" customWidth="1"/>
    <col min="13845" max="13845" width="10.19921875" style="32" customWidth="1"/>
    <col min="13846" max="13846" width="7" style="32" customWidth="1"/>
    <col min="13847" max="13847" width="9" style="32" customWidth="1"/>
    <col min="13848" max="13848" width="6.59765625" style="32" customWidth="1"/>
    <col min="13849" max="13849" width="8.8984375" style="32" customWidth="1"/>
    <col min="13850" max="13850" width="42.8984375" style="32" customWidth="1"/>
    <col min="13851" max="14090" width="10.19921875" style="32"/>
    <col min="14091" max="14091" width="3.59765625" style="32" customWidth="1"/>
    <col min="14092" max="14092" width="19.8984375" style="32" customWidth="1"/>
    <col min="14093" max="14093" width="5.59765625" style="32" customWidth="1"/>
    <col min="14094" max="14097" width="7.3984375" style="32" customWidth="1"/>
    <col min="14098" max="14098" width="9.8984375" style="32" customWidth="1"/>
    <col min="14099" max="14099" width="7.69921875" style="32" customWidth="1"/>
    <col min="14100" max="14100" width="5" style="32" customWidth="1"/>
    <col min="14101" max="14101" width="10.19921875" style="32" customWidth="1"/>
    <col min="14102" max="14102" width="7" style="32" customWidth="1"/>
    <col min="14103" max="14103" width="9" style="32" customWidth="1"/>
    <col min="14104" max="14104" width="6.59765625" style="32" customWidth="1"/>
    <col min="14105" max="14105" width="8.8984375" style="32" customWidth="1"/>
    <col min="14106" max="14106" width="42.8984375" style="32" customWidth="1"/>
    <col min="14107" max="14346" width="10.19921875" style="32"/>
    <col min="14347" max="14347" width="3.59765625" style="32" customWidth="1"/>
    <col min="14348" max="14348" width="19.8984375" style="32" customWidth="1"/>
    <col min="14349" max="14349" width="5.59765625" style="32" customWidth="1"/>
    <col min="14350" max="14353" width="7.3984375" style="32" customWidth="1"/>
    <col min="14354" max="14354" width="9.8984375" style="32" customWidth="1"/>
    <col min="14355" max="14355" width="7.69921875" style="32" customWidth="1"/>
    <col min="14356" max="14356" width="5" style="32" customWidth="1"/>
    <col min="14357" max="14357" width="10.19921875" style="32" customWidth="1"/>
    <col min="14358" max="14358" width="7" style="32" customWidth="1"/>
    <col min="14359" max="14359" width="9" style="32" customWidth="1"/>
    <col min="14360" max="14360" width="6.59765625" style="32" customWidth="1"/>
    <col min="14361" max="14361" width="8.8984375" style="32" customWidth="1"/>
    <col min="14362" max="14362" width="42.8984375" style="32" customWidth="1"/>
    <col min="14363" max="14602" width="10.19921875" style="32"/>
    <col min="14603" max="14603" width="3.59765625" style="32" customWidth="1"/>
    <col min="14604" max="14604" width="19.8984375" style="32" customWidth="1"/>
    <col min="14605" max="14605" width="5.59765625" style="32" customWidth="1"/>
    <col min="14606" max="14609" width="7.3984375" style="32" customWidth="1"/>
    <col min="14610" max="14610" width="9.8984375" style="32" customWidth="1"/>
    <col min="14611" max="14611" width="7.69921875" style="32" customWidth="1"/>
    <col min="14612" max="14612" width="5" style="32" customWidth="1"/>
    <col min="14613" max="14613" width="10.19921875" style="32" customWidth="1"/>
    <col min="14614" max="14614" width="7" style="32" customWidth="1"/>
    <col min="14615" max="14615" width="9" style="32" customWidth="1"/>
    <col min="14616" max="14616" width="6.59765625" style="32" customWidth="1"/>
    <col min="14617" max="14617" width="8.8984375" style="32" customWidth="1"/>
    <col min="14618" max="14618" width="42.8984375" style="32" customWidth="1"/>
    <col min="14619" max="14858" width="10.19921875" style="32"/>
    <col min="14859" max="14859" width="3.59765625" style="32" customWidth="1"/>
    <col min="14860" max="14860" width="19.8984375" style="32" customWidth="1"/>
    <col min="14861" max="14861" width="5.59765625" style="32" customWidth="1"/>
    <col min="14862" max="14865" width="7.3984375" style="32" customWidth="1"/>
    <col min="14866" max="14866" width="9.8984375" style="32" customWidth="1"/>
    <col min="14867" max="14867" width="7.69921875" style="32" customWidth="1"/>
    <col min="14868" max="14868" width="5" style="32" customWidth="1"/>
    <col min="14869" max="14869" width="10.19921875" style="32" customWidth="1"/>
    <col min="14870" max="14870" width="7" style="32" customWidth="1"/>
    <col min="14871" max="14871" width="9" style="32" customWidth="1"/>
    <col min="14872" max="14872" width="6.59765625" style="32" customWidth="1"/>
    <col min="14873" max="14873" width="8.8984375" style="32" customWidth="1"/>
    <col min="14874" max="14874" width="42.8984375" style="32" customWidth="1"/>
    <col min="14875" max="15114" width="10.19921875" style="32"/>
    <col min="15115" max="15115" width="3.59765625" style="32" customWidth="1"/>
    <col min="15116" max="15116" width="19.8984375" style="32" customWidth="1"/>
    <col min="15117" max="15117" width="5.59765625" style="32" customWidth="1"/>
    <col min="15118" max="15121" width="7.3984375" style="32" customWidth="1"/>
    <col min="15122" max="15122" width="9.8984375" style="32" customWidth="1"/>
    <col min="15123" max="15123" width="7.69921875" style="32" customWidth="1"/>
    <col min="15124" max="15124" width="5" style="32" customWidth="1"/>
    <col min="15125" max="15125" width="10.19921875" style="32" customWidth="1"/>
    <col min="15126" max="15126" width="7" style="32" customWidth="1"/>
    <col min="15127" max="15127" width="9" style="32" customWidth="1"/>
    <col min="15128" max="15128" width="6.59765625" style="32" customWidth="1"/>
    <col min="15129" max="15129" width="8.8984375" style="32" customWidth="1"/>
    <col min="15130" max="15130" width="42.8984375" style="32" customWidth="1"/>
    <col min="15131" max="15370" width="10.19921875" style="32"/>
    <col min="15371" max="15371" width="3.59765625" style="32" customWidth="1"/>
    <col min="15372" max="15372" width="19.8984375" style="32" customWidth="1"/>
    <col min="15373" max="15373" width="5.59765625" style="32" customWidth="1"/>
    <col min="15374" max="15377" width="7.3984375" style="32" customWidth="1"/>
    <col min="15378" max="15378" width="9.8984375" style="32" customWidth="1"/>
    <col min="15379" max="15379" width="7.69921875" style="32" customWidth="1"/>
    <col min="15380" max="15380" width="5" style="32" customWidth="1"/>
    <col min="15381" max="15381" width="10.19921875" style="32" customWidth="1"/>
    <col min="15382" max="15382" width="7" style="32" customWidth="1"/>
    <col min="15383" max="15383" width="9" style="32" customWidth="1"/>
    <col min="15384" max="15384" width="6.59765625" style="32" customWidth="1"/>
    <col min="15385" max="15385" width="8.8984375" style="32" customWidth="1"/>
    <col min="15386" max="15386" width="42.8984375" style="32" customWidth="1"/>
    <col min="15387" max="15626" width="10.19921875" style="32"/>
    <col min="15627" max="15627" width="3.59765625" style="32" customWidth="1"/>
    <col min="15628" max="15628" width="19.8984375" style="32" customWidth="1"/>
    <col min="15629" max="15629" width="5.59765625" style="32" customWidth="1"/>
    <col min="15630" max="15633" width="7.3984375" style="32" customWidth="1"/>
    <col min="15634" max="15634" width="9.8984375" style="32" customWidth="1"/>
    <col min="15635" max="15635" width="7.69921875" style="32" customWidth="1"/>
    <col min="15636" max="15636" width="5" style="32" customWidth="1"/>
    <col min="15637" max="15637" width="10.19921875" style="32" customWidth="1"/>
    <col min="15638" max="15638" width="7" style="32" customWidth="1"/>
    <col min="15639" max="15639" width="9" style="32" customWidth="1"/>
    <col min="15640" max="15640" width="6.59765625" style="32" customWidth="1"/>
    <col min="15641" max="15641" width="8.8984375" style="32" customWidth="1"/>
    <col min="15642" max="15642" width="42.8984375" style="32" customWidth="1"/>
    <col min="15643" max="15882" width="10.19921875" style="32"/>
    <col min="15883" max="15883" width="3.59765625" style="32" customWidth="1"/>
    <col min="15884" max="15884" width="19.8984375" style="32" customWidth="1"/>
    <col min="15885" max="15885" width="5.59765625" style="32" customWidth="1"/>
    <col min="15886" max="15889" width="7.3984375" style="32" customWidth="1"/>
    <col min="15890" max="15890" width="9.8984375" style="32" customWidth="1"/>
    <col min="15891" max="15891" width="7.69921875" style="32" customWidth="1"/>
    <col min="15892" max="15892" width="5" style="32" customWidth="1"/>
    <col min="15893" max="15893" width="10.19921875" style="32" customWidth="1"/>
    <col min="15894" max="15894" width="7" style="32" customWidth="1"/>
    <col min="15895" max="15895" width="9" style="32" customWidth="1"/>
    <col min="15896" max="15896" width="6.59765625" style="32" customWidth="1"/>
    <col min="15897" max="15897" width="8.8984375" style="32" customWidth="1"/>
    <col min="15898" max="15898" width="42.8984375" style="32" customWidth="1"/>
    <col min="15899" max="16138" width="10.19921875" style="32"/>
    <col min="16139" max="16139" width="3.59765625" style="32" customWidth="1"/>
    <col min="16140" max="16140" width="19.8984375" style="32" customWidth="1"/>
    <col min="16141" max="16141" width="5.59765625" style="32" customWidth="1"/>
    <col min="16142" max="16145" width="7.3984375" style="32" customWidth="1"/>
    <col min="16146" max="16146" width="9.8984375" style="32" customWidth="1"/>
    <col min="16147" max="16147" width="7.69921875" style="32" customWidth="1"/>
    <col min="16148" max="16148" width="5" style="32" customWidth="1"/>
    <col min="16149" max="16149" width="10.19921875" style="32" customWidth="1"/>
    <col min="16150" max="16150" width="7" style="32" customWidth="1"/>
    <col min="16151" max="16151" width="9" style="32" customWidth="1"/>
    <col min="16152" max="16152" width="6.59765625" style="32" customWidth="1"/>
    <col min="16153" max="16153" width="8.8984375" style="32" customWidth="1"/>
    <col min="16154" max="16154" width="42.8984375" style="32" customWidth="1"/>
    <col min="16155" max="16384" width="10.19921875" style="32"/>
  </cols>
  <sheetData>
    <row r="1" spans="1:26" ht="24.75" thickBot="1">
      <c r="A1" s="30" t="s">
        <v>47</v>
      </c>
      <c r="O1" s="404"/>
      <c r="P1" s="408" t="s">
        <v>290</v>
      </c>
      <c r="Q1" s="405"/>
      <c r="R1" s="405"/>
      <c r="S1" s="405"/>
      <c r="T1" s="405"/>
      <c r="U1" s="405"/>
      <c r="V1" s="405"/>
      <c r="W1" s="405"/>
      <c r="X1" s="405"/>
      <c r="Y1" s="406"/>
    </row>
    <row r="2" spans="1:26" s="34" customFormat="1" ht="31.5" customHeight="1" thickTop="1" thickBot="1">
      <c r="A2" s="553"/>
      <c r="B2" s="555" t="s">
        <v>48</v>
      </c>
      <c r="C2" s="441" t="s">
        <v>49</v>
      </c>
      <c r="D2" s="450"/>
      <c r="E2" s="451"/>
      <c r="F2" s="442" t="s">
        <v>305</v>
      </c>
      <c r="G2" s="442"/>
      <c r="H2" s="443"/>
      <c r="I2" s="557" t="s">
        <v>279</v>
      </c>
      <c r="J2" s="558"/>
      <c r="K2" s="203" t="s">
        <v>50</v>
      </c>
      <c r="L2" s="204" t="s">
        <v>51</v>
      </c>
      <c r="M2" s="204" t="s">
        <v>383</v>
      </c>
      <c r="N2" s="400" t="s">
        <v>309</v>
      </c>
      <c r="O2" s="561" t="s">
        <v>311</v>
      </c>
      <c r="P2" s="562"/>
      <c r="Q2" s="561" t="s">
        <v>312</v>
      </c>
      <c r="R2" s="562"/>
      <c r="S2" s="561" t="s">
        <v>276</v>
      </c>
      <c r="T2" s="562"/>
      <c r="U2" s="561" t="s">
        <v>277</v>
      </c>
      <c r="V2" s="562"/>
      <c r="W2" s="561" t="s">
        <v>278</v>
      </c>
      <c r="X2" s="562"/>
      <c r="Y2" s="407"/>
      <c r="Z2" s="559" t="s">
        <v>53</v>
      </c>
    </row>
    <row r="3" spans="1:26" s="34" customFormat="1" ht="27.75" thickTop="1">
      <c r="A3" s="554"/>
      <c r="B3" s="556"/>
      <c r="C3" s="401" t="s">
        <v>304</v>
      </c>
      <c r="D3" s="449" t="s">
        <v>285</v>
      </c>
      <c r="E3" s="449" t="s">
        <v>286</v>
      </c>
      <c r="F3" s="449" t="s">
        <v>287</v>
      </c>
      <c r="G3" s="449" t="s">
        <v>303</v>
      </c>
      <c r="H3" s="446" t="s">
        <v>306</v>
      </c>
      <c r="I3" s="401" t="s">
        <v>280</v>
      </c>
      <c r="J3" s="401" t="s">
        <v>308</v>
      </c>
      <c r="K3" s="204" t="s">
        <v>307</v>
      </c>
      <c r="L3" s="204" t="s">
        <v>281</v>
      </c>
      <c r="M3" s="204" t="s">
        <v>282</v>
      </c>
      <c r="N3" s="204" t="s">
        <v>283</v>
      </c>
      <c r="O3" s="300" t="s">
        <v>246</v>
      </c>
      <c r="P3" s="300" t="s">
        <v>247</v>
      </c>
      <c r="Q3" s="300" t="s">
        <v>246</v>
      </c>
      <c r="R3" s="300" t="s">
        <v>247</v>
      </c>
      <c r="S3" s="300" t="s">
        <v>246</v>
      </c>
      <c r="T3" s="300" t="s">
        <v>247</v>
      </c>
      <c r="U3" s="300" t="s">
        <v>246</v>
      </c>
      <c r="V3" s="300" t="s">
        <v>247</v>
      </c>
      <c r="W3" s="300" t="s">
        <v>246</v>
      </c>
      <c r="X3" s="402" t="s">
        <v>247</v>
      </c>
      <c r="Y3" s="403" t="s">
        <v>284</v>
      </c>
      <c r="Z3" s="560"/>
    </row>
    <row r="4" spans="1:26" ht="17.25">
      <c r="B4" s="202"/>
      <c r="C4" s="174"/>
      <c r="D4" s="174"/>
      <c r="E4" s="36"/>
      <c r="F4" s="36"/>
      <c r="G4" s="36"/>
      <c r="H4" s="176">
        <f t="shared" ref="H4:H9" si="0">IF(IF(OR(D4="",D4=0),1,D4)*IF(OR(E4="",D4=0),1,E4)*IF(OR(F4="",F4=0),1,F4)*IF(OR(G4="",G4=0),1,G4)=1,0,IF(OR(D4="",D4=0),1,D4)*IF(OR(E4="",D4=0),1,E4)*IF(OR(F4="",F4=0),1,F4)*IF(OR(G4="",G4=0),1,G4))</f>
        <v>0</v>
      </c>
      <c r="I4" s="175"/>
      <c r="J4" s="176">
        <f>IF(I4&lt;&gt;0,+H4/I4,0)</f>
        <v>0</v>
      </c>
      <c r="K4" s="176">
        <f>+C4*H4</f>
        <v>0</v>
      </c>
      <c r="L4" s="327">
        <f>IF(K4=0,0,K4/$K$30)</f>
        <v>0</v>
      </c>
      <c r="M4" s="276"/>
      <c r="N4" s="326">
        <f>+L4*M4</f>
        <v>0</v>
      </c>
      <c r="O4" s="453"/>
      <c r="P4" s="392">
        <f>+H4*O4</f>
        <v>0</v>
      </c>
      <c r="Q4" s="453"/>
      <c r="R4" s="392">
        <f>+H4*Q4</f>
        <v>0</v>
      </c>
      <c r="S4" s="453"/>
      <c r="T4" s="392">
        <f>+H4*S4</f>
        <v>0</v>
      </c>
      <c r="U4" s="453"/>
      <c r="V4" s="392">
        <f>+H4*U4</f>
        <v>0</v>
      </c>
      <c r="W4" s="453"/>
      <c r="X4" s="392">
        <f>+H4*W4</f>
        <v>0</v>
      </c>
      <c r="Y4" s="392">
        <f>+P4+R4+T4+V4+X4</f>
        <v>0</v>
      </c>
      <c r="Z4" s="298"/>
    </row>
    <row r="5" spans="1:26">
      <c r="B5" s="202"/>
      <c r="C5" s="175"/>
      <c r="D5" s="444"/>
      <c r="E5" s="201"/>
      <c r="F5" s="201"/>
      <c r="G5" s="201"/>
      <c r="H5" s="176">
        <f t="shared" si="0"/>
        <v>0</v>
      </c>
      <c r="I5" s="175"/>
      <c r="J5" s="176">
        <f t="shared" ref="J5:J29" si="1">IF(I5&lt;&gt;0,+H5/I5,0)</f>
        <v>0</v>
      </c>
      <c r="K5" s="176">
        <f t="shared" ref="K5:K29" si="2">+C5*H5</f>
        <v>0</v>
      </c>
      <c r="L5" s="327">
        <f t="shared" ref="L5:L29" si="3">IF(K5=0,0,K5/$K$30)</f>
        <v>0</v>
      </c>
      <c r="M5" s="276"/>
      <c r="N5" s="326">
        <f t="shared" ref="N5:N29" si="4">+L5*M5</f>
        <v>0</v>
      </c>
      <c r="O5" s="454"/>
      <c r="P5" s="392">
        <f t="shared" ref="P5:P29" si="5">+H5*O5</f>
        <v>0</v>
      </c>
      <c r="Q5" s="454"/>
      <c r="R5" s="392">
        <f t="shared" ref="R5:R29" si="6">+H5*Q5</f>
        <v>0</v>
      </c>
      <c r="S5" s="454"/>
      <c r="T5" s="392">
        <f t="shared" ref="T5:T29" si="7">+H5*S5</f>
        <v>0</v>
      </c>
      <c r="U5" s="454"/>
      <c r="V5" s="392">
        <f t="shared" ref="V5:V29" si="8">+H5*U5</f>
        <v>0</v>
      </c>
      <c r="W5" s="454"/>
      <c r="X5" s="392">
        <f t="shared" ref="X5:X29" si="9">+H5*W5</f>
        <v>0</v>
      </c>
      <c r="Y5" s="392">
        <f t="shared" ref="Y5:Y29" si="10">+P5+R5+T5+V5+X5</f>
        <v>0</v>
      </c>
      <c r="Z5" s="296"/>
    </row>
    <row r="6" spans="1:26" ht="17.25">
      <c r="B6" s="202"/>
      <c r="C6" s="175"/>
      <c r="D6" s="174"/>
      <c r="E6" s="36"/>
      <c r="F6" s="36"/>
      <c r="G6" s="36"/>
      <c r="H6" s="176">
        <f t="shared" si="0"/>
        <v>0</v>
      </c>
      <c r="I6" s="175"/>
      <c r="J6" s="176">
        <f t="shared" si="1"/>
        <v>0</v>
      </c>
      <c r="K6" s="176">
        <f t="shared" si="2"/>
        <v>0</v>
      </c>
      <c r="L6" s="327">
        <f t="shared" si="3"/>
        <v>0</v>
      </c>
      <c r="M6" s="276"/>
      <c r="N6" s="326">
        <f t="shared" si="4"/>
        <v>0</v>
      </c>
      <c r="O6" s="453"/>
      <c r="P6" s="392">
        <f t="shared" si="5"/>
        <v>0</v>
      </c>
      <c r="Q6" s="453"/>
      <c r="R6" s="392">
        <f t="shared" si="6"/>
        <v>0</v>
      </c>
      <c r="S6" s="453"/>
      <c r="T6" s="392">
        <f t="shared" si="7"/>
        <v>0</v>
      </c>
      <c r="U6" s="453"/>
      <c r="V6" s="392">
        <f t="shared" si="8"/>
        <v>0</v>
      </c>
      <c r="W6" s="453"/>
      <c r="X6" s="392">
        <f t="shared" si="9"/>
        <v>0</v>
      </c>
      <c r="Y6" s="392">
        <f t="shared" si="10"/>
        <v>0</v>
      </c>
      <c r="Z6" s="298"/>
    </row>
    <row r="7" spans="1:26">
      <c r="B7" s="202"/>
      <c r="C7" s="175"/>
      <c r="D7" s="444"/>
      <c r="E7" s="201"/>
      <c r="F7" s="201"/>
      <c r="G7" s="201"/>
      <c r="H7" s="176">
        <f t="shared" si="0"/>
        <v>0</v>
      </c>
      <c r="I7" s="175"/>
      <c r="J7" s="176">
        <f t="shared" si="1"/>
        <v>0</v>
      </c>
      <c r="K7" s="176">
        <f t="shared" si="2"/>
        <v>0</v>
      </c>
      <c r="L7" s="327">
        <f t="shared" si="3"/>
        <v>0</v>
      </c>
      <c r="M7" s="276"/>
      <c r="N7" s="326">
        <f t="shared" si="4"/>
        <v>0</v>
      </c>
      <c r="O7" s="454"/>
      <c r="P7" s="392">
        <f t="shared" si="5"/>
        <v>0</v>
      </c>
      <c r="Q7" s="454"/>
      <c r="R7" s="392">
        <f t="shared" si="6"/>
        <v>0</v>
      </c>
      <c r="S7" s="454"/>
      <c r="T7" s="392">
        <f t="shared" si="7"/>
        <v>0</v>
      </c>
      <c r="U7" s="454"/>
      <c r="V7" s="392">
        <f t="shared" si="8"/>
        <v>0</v>
      </c>
      <c r="W7" s="454"/>
      <c r="X7" s="392">
        <f t="shared" si="9"/>
        <v>0</v>
      </c>
      <c r="Y7" s="392">
        <f t="shared" si="10"/>
        <v>0</v>
      </c>
      <c r="Z7" s="296"/>
    </row>
    <row r="8" spans="1:26" ht="17.25">
      <c r="B8" s="202"/>
      <c r="C8" s="175"/>
      <c r="D8" s="174"/>
      <c r="E8" s="276"/>
      <c r="F8" s="36"/>
      <c r="G8" s="36"/>
      <c r="H8" s="176">
        <f t="shared" si="0"/>
        <v>0</v>
      </c>
      <c r="I8" s="175"/>
      <c r="J8" s="176">
        <f t="shared" si="1"/>
        <v>0</v>
      </c>
      <c r="K8" s="176">
        <f t="shared" si="2"/>
        <v>0</v>
      </c>
      <c r="L8" s="327">
        <f t="shared" si="3"/>
        <v>0</v>
      </c>
      <c r="M8" s="276"/>
      <c r="N8" s="326">
        <f t="shared" si="4"/>
        <v>0</v>
      </c>
      <c r="O8" s="453"/>
      <c r="P8" s="392">
        <f t="shared" si="5"/>
        <v>0</v>
      </c>
      <c r="Q8" s="453"/>
      <c r="R8" s="392">
        <f t="shared" si="6"/>
        <v>0</v>
      </c>
      <c r="S8" s="453"/>
      <c r="T8" s="392">
        <f t="shared" si="7"/>
        <v>0</v>
      </c>
      <c r="U8" s="453"/>
      <c r="V8" s="392">
        <f t="shared" si="8"/>
        <v>0</v>
      </c>
      <c r="W8" s="453"/>
      <c r="X8" s="392">
        <f t="shared" si="9"/>
        <v>0</v>
      </c>
      <c r="Y8" s="392">
        <f t="shared" si="10"/>
        <v>0</v>
      </c>
      <c r="Z8" s="298"/>
    </row>
    <row r="9" spans="1:26">
      <c r="B9" s="202"/>
      <c r="C9" s="175"/>
      <c r="D9" s="444"/>
      <c r="E9" s="201"/>
      <c r="F9" s="201"/>
      <c r="G9" s="201"/>
      <c r="H9" s="176">
        <f t="shared" si="0"/>
        <v>0</v>
      </c>
      <c r="I9" s="175"/>
      <c r="J9" s="176">
        <f t="shared" si="1"/>
        <v>0</v>
      </c>
      <c r="K9" s="176">
        <f t="shared" si="2"/>
        <v>0</v>
      </c>
      <c r="L9" s="327">
        <f t="shared" si="3"/>
        <v>0</v>
      </c>
      <c r="M9" s="276"/>
      <c r="N9" s="326">
        <f t="shared" si="4"/>
        <v>0</v>
      </c>
      <c r="O9" s="454"/>
      <c r="P9" s="392">
        <f t="shared" si="5"/>
        <v>0</v>
      </c>
      <c r="Q9" s="454"/>
      <c r="R9" s="392">
        <f t="shared" si="6"/>
        <v>0</v>
      </c>
      <c r="S9" s="454"/>
      <c r="T9" s="392">
        <f t="shared" si="7"/>
        <v>0</v>
      </c>
      <c r="U9" s="454"/>
      <c r="V9" s="392">
        <f t="shared" si="8"/>
        <v>0</v>
      </c>
      <c r="W9" s="454"/>
      <c r="X9" s="392">
        <f t="shared" si="9"/>
        <v>0</v>
      </c>
      <c r="Y9" s="392">
        <f t="shared" si="10"/>
        <v>0</v>
      </c>
      <c r="Z9" s="296"/>
    </row>
    <row r="10" spans="1:26" ht="17.25">
      <c r="B10" s="202"/>
      <c r="C10" s="175"/>
      <c r="D10" s="174"/>
      <c r="E10" s="36"/>
      <c r="F10" s="36"/>
      <c r="G10" s="36"/>
      <c r="H10" s="176">
        <f>IF(IF(OR(D10="",D10=0),1,D10)*IF(OR(E10="",D10=0),1,E10)*IF(OR(F10="",F10=0),1,F10)*IF(OR(G10="",G10=0),1,G10)=1,0,IF(OR(D10="",D10=0),1,D10)*IF(OR(E10="",D10=0),1,E10)*IF(OR(F10="",F10=0),1,F10)*IF(OR(G10="",G10=0),1,G10))</f>
        <v>0</v>
      </c>
      <c r="I10" s="175"/>
      <c r="J10" s="176">
        <f t="shared" si="1"/>
        <v>0</v>
      </c>
      <c r="K10" s="176">
        <f t="shared" si="2"/>
        <v>0</v>
      </c>
      <c r="L10" s="327">
        <f t="shared" si="3"/>
        <v>0</v>
      </c>
      <c r="M10" s="276"/>
      <c r="N10" s="326">
        <f t="shared" si="4"/>
        <v>0</v>
      </c>
      <c r="O10" s="453"/>
      <c r="P10" s="392">
        <f t="shared" si="5"/>
        <v>0</v>
      </c>
      <c r="Q10" s="453"/>
      <c r="R10" s="392">
        <f t="shared" si="6"/>
        <v>0</v>
      </c>
      <c r="S10" s="453"/>
      <c r="T10" s="392">
        <f t="shared" si="7"/>
        <v>0</v>
      </c>
      <c r="U10" s="453"/>
      <c r="V10" s="392">
        <f t="shared" si="8"/>
        <v>0</v>
      </c>
      <c r="W10" s="453"/>
      <c r="X10" s="392">
        <f t="shared" si="9"/>
        <v>0</v>
      </c>
      <c r="Y10" s="392">
        <f t="shared" si="10"/>
        <v>0</v>
      </c>
      <c r="Z10" s="298"/>
    </row>
    <row r="11" spans="1:26">
      <c r="B11" s="297"/>
      <c r="C11" s="175"/>
      <c r="D11" s="444"/>
      <c r="E11" s="201"/>
      <c r="F11" s="201"/>
      <c r="G11" s="201"/>
      <c r="H11" s="176">
        <f t="shared" ref="H11:H29" si="11">IF(IF(OR(D11="",D11=0),1,D11)*IF(OR(E11="",D11=0),1,E11)*IF(OR(F11="",F11=0),1,F11)*IF(OR(G11="",G11=0),1,G11)=1,0,IF(OR(D11="",D11=0),1,D11)*IF(OR(E11="",D11=0),1,E11)*IF(OR(F11="",F11=0),1,F11)*IF(OR(G11="",G11=0),1,G11))</f>
        <v>0</v>
      </c>
      <c r="I11" s="175"/>
      <c r="J11" s="176">
        <f t="shared" si="1"/>
        <v>0</v>
      </c>
      <c r="K11" s="176">
        <f t="shared" si="2"/>
        <v>0</v>
      </c>
      <c r="L11" s="327">
        <f t="shared" si="3"/>
        <v>0</v>
      </c>
      <c r="M11" s="276"/>
      <c r="N11" s="326">
        <f t="shared" si="4"/>
        <v>0</v>
      </c>
      <c r="O11" s="454"/>
      <c r="P11" s="392">
        <f t="shared" si="5"/>
        <v>0</v>
      </c>
      <c r="Q11" s="454"/>
      <c r="R11" s="392">
        <f t="shared" si="6"/>
        <v>0</v>
      </c>
      <c r="S11" s="454"/>
      <c r="T11" s="392">
        <f t="shared" si="7"/>
        <v>0</v>
      </c>
      <c r="U11" s="454"/>
      <c r="V11" s="392">
        <f t="shared" si="8"/>
        <v>0</v>
      </c>
      <c r="W11" s="454"/>
      <c r="X11" s="392">
        <f t="shared" si="9"/>
        <v>0</v>
      </c>
      <c r="Y11" s="392">
        <f t="shared" si="10"/>
        <v>0</v>
      </c>
      <c r="Z11" s="296"/>
    </row>
    <row r="12" spans="1:26" ht="17.25">
      <c r="B12" s="297"/>
      <c r="C12" s="175"/>
      <c r="D12" s="452"/>
      <c r="E12" s="201"/>
      <c r="F12" s="201"/>
      <c r="G12" s="36"/>
      <c r="H12" s="176">
        <f t="shared" si="11"/>
        <v>0</v>
      </c>
      <c r="I12" s="175"/>
      <c r="J12" s="176">
        <f t="shared" si="1"/>
        <v>0</v>
      </c>
      <c r="K12" s="176">
        <f t="shared" si="2"/>
        <v>0</v>
      </c>
      <c r="L12" s="327">
        <f t="shared" si="3"/>
        <v>0</v>
      </c>
      <c r="M12" s="276"/>
      <c r="N12" s="326">
        <f t="shared" si="4"/>
        <v>0</v>
      </c>
      <c r="O12" s="453"/>
      <c r="P12" s="392">
        <f t="shared" si="5"/>
        <v>0</v>
      </c>
      <c r="Q12" s="453"/>
      <c r="R12" s="392">
        <f t="shared" si="6"/>
        <v>0</v>
      </c>
      <c r="S12" s="453"/>
      <c r="T12" s="392">
        <f t="shared" si="7"/>
        <v>0</v>
      </c>
      <c r="U12" s="453"/>
      <c r="V12" s="392">
        <f t="shared" si="8"/>
        <v>0</v>
      </c>
      <c r="W12" s="453"/>
      <c r="X12" s="392">
        <f t="shared" si="9"/>
        <v>0</v>
      </c>
      <c r="Y12" s="392">
        <f t="shared" si="10"/>
        <v>0</v>
      </c>
      <c r="Z12" s="298"/>
    </row>
    <row r="13" spans="1:26">
      <c r="B13" s="297"/>
      <c r="C13" s="175"/>
      <c r="D13" s="444"/>
      <c r="E13" s="201"/>
      <c r="F13" s="201"/>
      <c r="G13" s="201"/>
      <c r="H13" s="176">
        <f t="shared" si="11"/>
        <v>0</v>
      </c>
      <c r="I13" s="175"/>
      <c r="J13" s="176">
        <f t="shared" si="1"/>
        <v>0</v>
      </c>
      <c r="K13" s="176">
        <f t="shared" si="2"/>
        <v>0</v>
      </c>
      <c r="L13" s="327">
        <f t="shared" si="3"/>
        <v>0</v>
      </c>
      <c r="M13" s="276"/>
      <c r="N13" s="326">
        <f t="shared" si="4"/>
        <v>0</v>
      </c>
      <c r="O13" s="454"/>
      <c r="P13" s="392">
        <f t="shared" si="5"/>
        <v>0</v>
      </c>
      <c r="Q13" s="454"/>
      <c r="R13" s="392">
        <f t="shared" si="6"/>
        <v>0</v>
      </c>
      <c r="S13" s="454"/>
      <c r="T13" s="392">
        <f t="shared" si="7"/>
        <v>0</v>
      </c>
      <c r="U13" s="454"/>
      <c r="V13" s="392">
        <f t="shared" si="8"/>
        <v>0</v>
      </c>
      <c r="W13" s="454"/>
      <c r="X13" s="392">
        <f t="shared" si="9"/>
        <v>0</v>
      </c>
      <c r="Y13" s="392">
        <f t="shared" si="10"/>
        <v>0</v>
      </c>
      <c r="Z13" s="296"/>
    </row>
    <row r="14" spans="1:26" ht="17.25">
      <c r="B14" s="297"/>
      <c r="C14" s="175"/>
      <c r="D14" s="445"/>
      <c r="E14" s="36"/>
      <c r="F14" s="36"/>
      <c r="G14" s="36"/>
      <c r="H14" s="176">
        <f t="shared" si="11"/>
        <v>0</v>
      </c>
      <c r="I14" s="175"/>
      <c r="J14" s="176">
        <f t="shared" si="1"/>
        <v>0</v>
      </c>
      <c r="K14" s="176">
        <f t="shared" si="2"/>
        <v>0</v>
      </c>
      <c r="L14" s="327">
        <f t="shared" si="3"/>
        <v>0</v>
      </c>
      <c r="M14" s="276"/>
      <c r="N14" s="326">
        <f t="shared" si="4"/>
        <v>0</v>
      </c>
      <c r="O14" s="453"/>
      <c r="P14" s="392">
        <f t="shared" si="5"/>
        <v>0</v>
      </c>
      <c r="Q14" s="453"/>
      <c r="R14" s="392">
        <f t="shared" si="6"/>
        <v>0</v>
      </c>
      <c r="S14" s="453"/>
      <c r="T14" s="392">
        <f t="shared" si="7"/>
        <v>0</v>
      </c>
      <c r="U14" s="453"/>
      <c r="V14" s="392">
        <f t="shared" si="8"/>
        <v>0</v>
      </c>
      <c r="W14" s="453"/>
      <c r="X14" s="392">
        <f t="shared" si="9"/>
        <v>0</v>
      </c>
      <c r="Y14" s="392">
        <f t="shared" si="10"/>
        <v>0</v>
      </c>
      <c r="Z14" s="298"/>
    </row>
    <row r="15" spans="1:26" ht="16.899999999999999" customHeight="1">
      <c r="B15" s="202"/>
      <c r="C15" s="175"/>
      <c r="D15" s="174"/>
      <c r="E15" s="202"/>
      <c r="F15" s="36"/>
      <c r="G15" s="36"/>
      <c r="H15" s="176">
        <f t="shared" ref="H15:H19" si="12">IF(IF(OR(D15="",D15=0),1,D15)*IF(OR(E15="",D15=0),1,E15)*IF(OR(F15="",F15=0),1,F15)*IF(OR(G15="",G15=0),1,G15)=1,0,IF(OR(D15="",D15=0),1,D15)*IF(OR(E15="",D15=0),1,E15)*IF(OR(F15="",F15=0),1,F15)*IF(OR(G15="",G15=0),1,G15))</f>
        <v>0</v>
      </c>
      <c r="I15" s="175"/>
      <c r="J15" s="176">
        <f t="shared" ref="J15:J19" si="13">IF(I15&lt;&gt;0,+H15/I15,0)</f>
        <v>0</v>
      </c>
      <c r="K15" s="176">
        <f t="shared" ref="K15:K19" si="14">+C15*H15</f>
        <v>0</v>
      </c>
      <c r="L15" s="327">
        <f t="shared" si="3"/>
        <v>0</v>
      </c>
      <c r="M15" s="276"/>
      <c r="N15" s="326">
        <f t="shared" ref="N15:N19" si="15">+L15*M15</f>
        <v>0</v>
      </c>
      <c r="O15" s="453"/>
      <c r="P15" s="392">
        <f t="shared" ref="P15:P19" si="16">+H15*O15</f>
        <v>0</v>
      </c>
      <c r="Q15" s="453"/>
      <c r="R15" s="392">
        <f t="shared" ref="R15:R19" si="17">+H15*Q15</f>
        <v>0</v>
      </c>
      <c r="S15" s="453"/>
      <c r="T15" s="392">
        <f t="shared" ref="T15:T19" si="18">+H15*S15</f>
        <v>0</v>
      </c>
      <c r="U15" s="453"/>
      <c r="V15" s="392">
        <f t="shared" ref="V15:V19" si="19">+H15*U15</f>
        <v>0</v>
      </c>
      <c r="W15" s="453"/>
      <c r="X15" s="392">
        <f t="shared" ref="X15:X19" si="20">+H15*W15</f>
        <v>0</v>
      </c>
      <c r="Y15" s="392">
        <f t="shared" ref="Y15:Y19" si="21">+P15+R15+T15+V15+X15</f>
        <v>0</v>
      </c>
      <c r="Z15" s="296"/>
    </row>
    <row r="16" spans="1:26" ht="16.899999999999999" customHeight="1">
      <c r="B16" s="202"/>
      <c r="C16" s="175"/>
      <c r="D16" s="174"/>
      <c r="E16" s="202"/>
      <c r="F16" s="36"/>
      <c r="G16" s="36"/>
      <c r="H16" s="176">
        <f t="shared" si="12"/>
        <v>0</v>
      </c>
      <c r="I16" s="175"/>
      <c r="J16" s="176">
        <f t="shared" si="13"/>
        <v>0</v>
      </c>
      <c r="K16" s="176">
        <f t="shared" si="14"/>
        <v>0</v>
      </c>
      <c r="L16" s="327">
        <f t="shared" si="3"/>
        <v>0</v>
      </c>
      <c r="M16" s="276"/>
      <c r="N16" s="326">
        <f t="shared" si="15"/>
        <v>0</v>
      </c>
      <c r="O16" s="453"/>
      <c r="P16" s="392">
        <f t="shared" si="16"/>
        <v>0</v>
      </c>
      <c r="Q16" s="453"/>
      <c r="R16" s="392">
        <f t="shared" si="17"/>
        <v>0</v>
      </c>
      <c r="S16" s="453"/>
      <c r="T16" s="392">
        <f t="shared" si="18"/>
        <v>0</v>
      </c>
      <c r="U16" s="453"/>
      <c r="V16" s="392">
        <f t="shared" si="19"/>
        <v>0</v>
      </c>
      <c r="W16" s="453"/>
      <c r="X16" s="392">
        <f t="shared" si="20"/>
        <v>0</v>
      </c>
      <c r="Y16" s="392">
        <f t="shared" si="21"/>
        <v>0</v>
      </c>
      <c r="Z16" s="296"/>
    </row>
    <row r="17" spans="2:26" ht="16.899999999999999" customHeight="1">
      <c r="B17" s="202"/>
      <c r="C17" s="175"/>
      <c r="D17" s="174"/>
      <c r="E17" s="202"/>
      <c r="F17" s="36"/>
      <c r="G17" s="36"/>
      <c r="H17" s="176">
        <f t="shared" si="12"/>
        <v>0</v>
      </c>
      <c r="I17" s="175"/>
      <c r="J17" s="176">
        <f t="shared" si="13"/>
        <v>0</v>
      </c>
      <c r="K17" s="176">
        <f t="shared" si="14"/>
        <v>0</v>
      </c>
      <c r="L17" s="327">
        <f t="shared" si="3"/>
        <v>0</v>
      </c>
      <c r="M17" s="276"/>
      <c r="N17" s="326">
        <f t="shared" si="15"/>
        <v>0</v>
      </c>
      <c r="O17" s="453"/>
      <c r="P17" s="392">
        <f t="shared" si="16"/>
        <v>0</v>
      </c>
      <c r="Q17" s="453"/>
      <c r="R17" s="392">
        <f t="shared" si="17"/>
        <v>0</v>
      </c>
      <c r="S17" s="453"/>
      <c r="T17" s="392">
        <f t="shared" si="18"/>
        <v>0</v>
      </c>
      <c r="U17" s="453"/>
      <c r="V17" s="392">
        <f t="shared" si="19"/>
        <v>0</v>
      </c>
      <c r="W17" s="453"/>
      <c r="X17" s="392">
        <f t="shared" si="20"/>
        <v>0</v>
      </c>
      <c r="Y17" s="392">
        <f t="shared" si="21"/>
        <v>0</v>
      </c>
      <c r="Z17" s="296"/>
    </row>
    <row r="18" spans="2:26" ht="16.899999999999999" customHeight="1">
      <c r="B18" s="202"/>
      <c r="C18" s="175"/>
      <c r="D18" s="174"/>
      <c r="E18" s="202"/>
      <c r="F18" s="36"/>
      <c r="G18" s="36"/>
      <c r="H18" s="176">
        <f t="shared" si="12"/>
        <v>0</v>
      </c>
      <c r="I18" s="175"/>
      <c r="J18" s="176">
        <f t="shared" si="13"/>
        <v>0</v>
      </c>
      <c r="K18" s="176">
        <f t="shared" si="14"/>
        <v>0</v>
      </c>
      <c r="L18" s="327">
        <f t="shared" si="3"/>
        <v>0</v>
      </c>
      <c r="M18" s="276"/>
      <c r="N18" s="326">
        <f t="shared" si="15"/>
        <v>0</v>
      </c>
      <c r="O18" s="453"/>
      <c r="P18" s="392">
        <f t="shared" si="16"/>
        <v>0</v>
      </c>
      <c r="Q18" s="453"/>
      <c r="R18" s="392">
        <f t="shared" si="17"/>
        <v>0</v>
      </c>
      <c r="S18" s="453"/>
      <c r="T18" s="392">
        <f t="shared" si="18"/>
        <v>0</v>
      </c>
      <c r="U18" s="453"/>
      <c r="V18" s="392">
        <f t="shared" si="19"/>
        <v>0</v>
      </c>
      <c r="W18" s="453"/>
      <c r="X18" s="392">
        <f t="shared" si="20"/>
        <v>0</v>
      </c>
      <c r="Y18" s="392">
        <f t="shared" si="21"/>
        <v>0</v>
      </c>
      <c r="Z18" s="296"/>
    </row>
    <row r="19" spans="2:26" ht="16.899999999999999" customHeight="1">
      <c r="B19" s="202"/>
      <c r="C19" s="175"/>
      <c r="D19" s="174"/>
      <c r="E19" s="202"/>
      <c r="F19" s="36"/>
      <c r="G19" s="36"/>
      <c r="H19" s="176">
        <f t="shared" si="12"/>
        <v>0</v>
      </c>
      <c r="I19" s="175"/>
      <c r="J19" s="176">
        <f t="shared" si="13"/>
        <v>0</v>
      </c>
      <c r="K19" s="176">
        <f t="shared" si="14"/>
        <v>0</v>
      </c>
      <c r="L19" s="327">
        <f t="shared" si="3"/>
        <v>0</v>
      </c>
      <c r="M19" s="276"/>
      <c r="N19" s="326">
        <f t="shared" si="15"/>
        <v>0</v>
      </c>
      <c r="O19" s="453"/>
      <c r="P19" s="392">
        <f t="shared" si="16"/>
        <v>0</v>
      </c>
      <c r="Q19" s="453"/>
      <c r="R19" s="392">
        <f t="shared" si="17"/>
        <v>0</v>
      </c>
      <c r="S19" s="453"/>
      <c r="T19" s="392">
        <f t="shared" si="18"/>
        <v>0</v>
      </c>
      <c r="U19" s="453"/>
      <c r="V19" s="392">
        <f t="shared" si="19"/>
        <v>0</v>
      </c>
      <c r="W19" s="453"/>
      <c r="X19" s="392">
        <f t="shared" si="20"/>
        <v>0</v>
      </c>
      <c r="Y19" s="392">
        <f t="shared" si="21"/>
        <v>0</v>
      </c>
      <c r="Z19" s="296"/>
    </row>
    <row r="20" spans="2:26" ht="16.899999999999999" customHeight="1">
      <c r="B20" s="202"/>
      <c r="C20" s="175"/>
      <c r="D20" s="174"/>
      <c r="E20" s="202"/>
      <c r="F20" s="36"/>
      <c r="G20" s="36"/>
      <c r="H20" s="176">
        <f t="shared" si="11"/>
        <v>0</v>
      </c>
      <c r="I20" s="175"/>
      <c r="J20" s="176">
        <f t="shared" si="1"/>
        <v>0</v>
      </c>
      <c r="K20" s="176">
        <f t="shared" si="2"/>
        <v>0</v>
      </c>
      <c r="L20" s="327">
        <f t="shared" si="3"/>
        <v>0</v>
      </c>
      <c r="M20" s="276"/>
      <c r="N20" s="326">
        <f t="shared" si="4"/>
        <v>0</v>
      </c>
      <c r="O20" s="453"/>
      <c r="P20" s="392">
        <f t="shared" si="5"/>
        <v>0</v>
      </c>
      <c r="Q20" s="453"/>
      <c r="R20" s="392">
        <f t="shared" si="6"/>
        <v>0</v>
      </c>
      <c r="S20" s="453"/>
      <c r="T20" s="392">
        <f t="shared" si="7"/>
        <v>0</v>
      </c>
      <c r="U20" s="453"/>
      <c r="V20" s="392">
        <f t="shared" si="8"/>
        <v>0</v>
      </c>
      <c r="W20" s="453"/>
      <c r="X20" s="392">
        <f t="shared" si="9"/>
        <v>0</v>
      </c>
      <c r="Y20" s="392">
        <f t="shared" si="10"/>
        <v>0</v>
      </c>
      <c r="Z20" s="296"/>
    </row>
    <row r="21" spans="2:26" ht="17.25">
      <c r="B21" s="202"/>
      <c r="C21" s="175"/>
      <c r="D21" s="174"/>
      <c r="E21" s="36"/>
      <c r="F21" s="36"/>
      <c r="G21" s="36"/>
      <c r="H21" s="176">
        <f t="shared" si="11"/>
        <v>0</v>
      </c>
      <c r="I21" s="175"/>
      <c r="J21" s="176">
        <f t="shared" si="1"/>
        <v>0</v>
      </c>
      <c r="K21" s="176">
        <f t="shared" si="2"/>
        <v>0</v>
      </c>
      <c r="L21" s="327">
        <f t="shared" si="3"/>
        <v>0</v>
      </c>
      <c r="M21" s="276"/>
      <c r="N21" s="326">
        <f t="shared" si="4"/>
        <v>0</v>
      </c>
      <c r="O21" s="453"/>
      <c r="P21" s="392">
        <f t="shared" si="5"/>
        <v>0</v>
      </c>
      <c r="Q21" s="453"/>
      <c r="R21" s="392">
        <f t="shared" si="6"/>
        <v>0</v>
      </c>
      <c r="S21" s="453"/>
      <c r="T21" s="392">
        <f t="shared" si="7"/>
        <v>0</v>
      </c>
      <c r="U21" s="453"/>
      <c r="V21" s="392">
        <f t="shared" si="8"/>
        <v>0</v>
      </c>
      <c r="W21" s="453"/>
      <c r="X21" s="392">
        <f t="shared" si="9"/>
        <v>0</v>
      </c>
      <c r="Y21" s="392">
        <f t="shared" si="10"/>
        <v>0</v>
      </c>
      <c r="Z21" s="298"/>
    </row>
    <row r="22" spans="2:26" ht="17.25">
      <c r="B22" s="202"/>
      <c r="C22" s="175"/>
      <c r="D22" s="174"/>
      <c r="E22" s="36"/>
      <c r="F22" s="36"/>
      <c r="G22" s="36"/>
      <c r="H22" s="176">
        <f t="shared" si="11"/>
        <v>0</v>
      </c>
      <c r="I22" s="175"/>
      <c r="J22" s="176">
        <f t="shared" si="1"/>
        <v>0</v>
      </c>
      <c r="K22" s="176">
        <f t="shared" si="2"/>
        <v>0</v>
      </c>
      <c r="L22" s="327">
        <f t="shared" si="3"/>
        <v>0</v>
      </c>
      <c r="M22" s="276"/>
      <c r="N22" s="326">
        <f t="shared" si="4"/>
        <v>0</v>
      </c>
      <c r="O22" s="453"/>
      <c r="P22" s="392">
        <f t="shared" si="5"/>
        <v>0</v>
      </c>
      <c r="Q22" s="453"/>
      <c r="R22" s="392">
        <f t="shared" si="6"/>
        <v>0</v>
      </c>
      <c r="S22" s="453"/>
      <c r="T22" s="392">
        <f t="shared" si="7"/>
        <v>0</v>
      </c>
      <c r="U22" s="453"/>
      <c r="V22" s="392">
        <f t="shared" si="8"/>
        <v>0</v>
      </c>
      <c r="W22" s="453"/>
      <c r="X22" s="392">
        <f t="shared" si="9"/>
        <v>0</v>
      </c>
      <c r="Y22" s="392">
        <f t="shared" si="10"/>
        <v>0</v>
      </c>
      <c r="Z22" s="298"/>
    </row>
    <row r="23" spans="2:26" ht="17.25">
      <c r="B23" s="202"/>
      <c r="C23" s="175"/>
      <c r="D23" s="174"/>
      <c r="E23" s="36"/>
      <c r="F23" s="36"/>
      <c r="G23" s="36"/>
      <c r="H23" s="176">
        <f t="shared" si="11"/>
        <v>0</v>
      </c>
      <c r="I23" s="175"/>
      <c r="J23" s="176">
        <f t="shared" si="1"/>
        <v>0</v>
      </c>
      <c r="K23" s="176">
        <f t="shared" si="2"/>
        <v>0</v>
      </c>
      <c r="L23" s="327">
        <f t="shared" si="3"/>
        <v>0</v>
      </c>
      <c r="M23" s="276"/>
      <c r="N23" s="326">
        <f t="shared" si="4"/>
        <v>0</v>
      </c>
      <c r="O23" s="453"/>
      <c r="P23" s="392">
        <f t="shared" si="5"/>
        <v>0</v>
      </c>
      <c r="Q23" s="453"/>
      <c r="R23" s="392">
        <f t="shared" si="6"/>
        <v>0</v>
      </c>
      <c r="S23" s="453"/>
      <c r="T23" s="392">
        <f t="shared" si="7"/>
        <v>0</v>
      </c>
      <c r="U23" s="453"/>
      <c r="V23" s="392">
        <f t="shared" si="8"/>
        <v>0</v>
      </c>
      <c r="W23" s="453"/>
      <c r="X23" s="392">
        <f t="shared" si="9"/>
        <v>0</v>
      </c>
      <c r="Y23" s="392">
        <f t="shared" si="10"/>
        <v>0</v>
      </c>
      <c r="Z23" s="298"/>
    </row>
    <row r="24" spans="2:26" ht="17.25">
      <c r="B24" s="202"/>
      <c r="C24" s="175"/>
      <c r="D24" s="174"/>
      <c r="E24" s="36"/>
      <c r="F24" s="36"/>
      <c r="G24" s="36"/>
      <c r="H24" s="176">
        <f t="shared" si="11"/>
        <v>0</v>
      </c>
      <c r="I24" s="175"/>
      <c r="J24" s="176">
        <f t="shared" si="1"/>
        <v>0</v>
      </c>
      <c r="K24" s="176">
        <f t="shared" si="2"/>
        <v>0</v>
      </c>
      <c r="L24" s="327">
        <f t="shared" si="3"/>
        <v>0</v>
      </c>
      <c r="M24" s="276"/>
      <c r="N24" s="326">
        <f t="shared" si="4"/>
        <v>0</v>
      </c>
      <c r="O24" s="453"/>
      <c r="P24" s="392">
        <f t="shared" si="5"/>
        <v>0</v>
      </c>
      <c r="Q24" s="453"/>
      <c r="R24" s="392">
        <f t="shared" si="6"/>
        <v>0</v>
      </c>
      <c r="S24" s="453"/>
      <c r="T24" s="392">
        <f t="shared" si="7"/>
        <v>0</v>
      </c>
      <c r="U24" s="453"/>
      <c r="V24" s="392">
        <f t="shared" si="8"/>
        <v>0</v>
      </c>
      <c r="W24" s="453"/>
      <c r="X24" s="392">
        <f t="shared" si="9"/>
        <v>0</v>
      </c>
      <c r="Y24" s="392">
        <f t="shared" si="10"/>
        <v>0</v>
      </c>
      <c r="Z24" s="298"/>
    </row>
    <row r="25" spans="2:26" ht="17.25">
      <c r="B25" s="202"/>
      <c r="C25" s="175"/>
      <c r="D25" s="174"/>
      <c r="E25" s="36"/>
      <c r="F25" s="36"/>
      <c r="G25" s="36"/>
      <c r="H25" s="176">
        <f t="shared" si="11"/>
        <v>0</v>
      </c>
      <c r="I25" s="175"/>
      <c r="J25" s="176">
        <f t="shared" si="1"/>
        <v>0</v>
      </c>
      <c r="K25" s="176">
        <f t="shared" si="2"/>
        <v>0</v>
      </c>
      <c r="L25" s="327">
        <f t="shared" si="3"/>
        <v>0</v>
      </c>
      <c r="M25" s="276"/>
      <c r="N25" s="326">
        <f t="shared" si="4"/>
        <v>0</v>
      </c>
      <c r="O25" s="453"/>
      <c r="P25" s="392">
        <f t="shared" si="5"/>
        <v>0</v>
      </c>
      <c r="Q25" s="453"/>
      <c r="R25" s="392">
        <f t="shared" si="6"/>
        <v>0</v>
      </c>
      <c r="S25" s="453"/>
      <c r="T25" s="392">
        <f t="shared" si="7"/>
        <v>0</v>
      </c>
      <c r="U25" s="453"/>
      <c r="V25" s="392">
        <f t="shared" si="8"/>
        <v>0</v>
      </c>
      <c r="W25" s="453"/>
      <c r="X25" s="392">
        <f t="shared" si="9"/>
        <v>0</v>
      </c>
      <c r="Y25" s="392">
        <f t="shared" si="10"/>
        <v>0</v>
      </c>
      <c r="Z25" s="298"/>
    </row>
    <row r="26" spans="2:26" ht="17.25">
      <c r="B26" s="202"/>
      <c r="C26" s="175"/>
      <c r="D26" s="174"/>
      <c r="E26" s="36"/>
      <c r="F26" s="36"/>
      <c r="G26" s="36"/>
      <c r="H26" s="176">
        <f t="shared" si="11"/>
        <v>0</v>
      </c>
      <c r="I26" s="175"/>
      <c r="J26" s="176">
        <f t="shared" si="1"/>
        <v>0</v>
      </c>
      <c r="K26" s="176">
        <f t="shared" si="2"/>
        <v>0</v>
      </c>
      <c r="L26" s="327">
        <f t="shared" si="3"/>
        <v>0</v>
      </c>
      <c r="M26" s="276"/>
      <c r="N26" s="326">
        <f t="shared" si="4"/>
        <v>0</v>
      </c>
      <c r="O26" s="453"/>
      <c r="P26" s="392">
        <f t="shared" si="5"/>
        <v>0</v>
      </c>
      <c r="Q26" s="453"/>
      <c r="R26" s="392">
        <f t="shared" si="6"/>
        <v>0</v>
      </c>
      <c r="S26" s="453"/>
      <c r="T26" s="392">
        <f t="shared" si="7"/>
        <v>0</v>
      </c>
      <c r="U26" s="453"/>
      <c r="V26" s="392">
        <f t="shared" si="8"/>
        <v>0</v>
      </c>
      <c r="W26" s="453"/>
      <c r="X26" s="392">
        <f t="shared" si="9"/>
        <v>0</v>
      </c>
      <c r="Y26" s="392">
        <f t="shared" si="10"/>
        <v>0</v>
      </c>
      <c r="Z26" s="298"/>
    </row>
    <row r="27" spans="2:26" ht="17.25">
      <c r="B27" s="202"/>
      <c r="C27" s="175"/>
      <c r="D27" s="174"/>
      <c r="E27" s="36"/>
      <c r="F27" s="36"/>
      <c r="G27" s="36"/>
      <c r="H27" s="176">
        <f t="shared" si="11"/>
        <v>0</v>
      </c>
      <c r="I27" s="175"/>
      <c r="J27" s="176">
        <f t="shared" si="1"/>
        <v>0</v>
      </c>
      <c r="K27" s="176">
        <f t="shared" si="2"/>
        <v>0</v>
      </c>
      <c r="L27" s="327">
        <f t="shared" si="3"/>
        <v>0</v>
      </c>
      <c r="M27" s="276"/>
      <c r="N27" s="326">
        <f t="shared" si="4"/>
        <v>0</v>
      </c>
      <c r="O27" s="453"/>
      <c r="P27" s="392">
        <f t="shared" si="5"/>
        <v>0</v>
      </c>
      <c r="Q27" s="453"/>
      <c r="R27" s="392">
        <f t="shared" si="6"/>
        <v>0</v>
      </c>
      <c r="S27" s="453"/>
      <c r="T27" s="392">
        <f t="shared" si="7"/>
        <v>0</v>
      </c>
      <c r="U27" s="453"/>
      <c r="V27" s="392">
        <f t="shared" si="8"/>
        <v>0</v>
      </c>
      <c r="W27" s="453"/>
      <c r="X27" s="392">
        <f t="shared" si="9"/>
        <v>0</v>
      </c>
      <c r="Y27" s="392">
        <f t="shared" si="10"/>
        <v>0</v>
      </c>
      <c r="Z27" s="298"/>
    </row>
    <row r="28" spans="2:26" ht="20.45" customHeight="1">
      <c r="B28" s="202" t="s">
        <v>388</v>
      </c>
      <c r="C28" s="175">
        <v>4000</v>
      </c>
      <c r="D28" s="174">
        <v>2</v>
      </c>
      <c r="E28" s="36">
        <v>22</v>
      </c>
      <c r="F28" s="36">
        <v>12</v>
      </c>
      <c r="G28" s="36"/>
      <c r="H28" s="176">
        <f t="shared" si="11"/>
        <v>528</v>
      </c>
      <c r="I28" s="175">
        <v>2</v>
      </c>
      <c r="J28" s="176">
        <f t="shared" si="1"/>
        <v>264</v>
      </c>
      <c r="K28" s="176">
        <f t="shared" si="2"/>
        <v>2112000</v>
      </c>
      <c r="L28" s="327">
        <f t="shared" si="3"/>
        <v>0.10256410256410256</v>
      </c>
      <c r="M28" s="276">
        <v>0.7</v>
      </c>
      <c r="N28" s="326">
        <f t="shared" si="4"/>
        <v>7.179487179487179E-2</v>
      </c>
      <c r="O28" s="453">
        <v>500</v>
      </c>
      <c r="P28" s="392">
        <f t="shared" si="5"/>
        <v>264000</v>
      </c>
      <c r="Q28" s="453">
        <v>100</v>
      </c>
      <c r="R28" s="392">
        <f t="shared" si="6"/>
        <v>52800</v>
      </c>
      <c r="S28" s="453"/>
      <c r="T28" s="392">
        <f t="shared" si="7"/>
        <v>0</v>
      </c>
      <c r="U28" s="453"/>
      <c r="V28" s="392">
        <f t="shared" si="8"/>
        <v>0</v>
      </c>
      <c r="W28" s="453"/>
      <c r="X28" s="392">
        <f t="shared" si="9"/>
        <v>0</v>
      </c>
      <c r="Y28" s="392">
        <f t="shared" si="10"/>
        <v>316800</v>
      </c>
      <c r="Z28" s="296"/>
    </row>
    <row r="29" spans="2:26" ht="20.45" customHeight="1">
      <c r="B29" s="544" t="s">
        <v>382</v>
      </c>
      <c r="C29" s="175">
        <v>3500</v>
      </c>
      <c r="D29" s="174">
        <v>20</v>
      </c>
      <c r="E29" s="36">
        <v>22</v>
      </c>
      <c r="F29" s="36">
        <v>12</v>
      </c>
      <c r="G29" s="36"/>
      <c r="H29" s="176">
        <f t="shared" si="11"/>
        <v>5280</v>
      </c>
      <c r="I29" s="175">
        <v>24</v>
      </c>
      <c r="J29" s="176">
        <f t="shared" si="1"/>
        <v>220</v>
      </c>
      <c r="K29" s="176">
        <f t="shared" si="2"/>
        <v>18480000</v>
      </c>
      <c r="L29" s="327">
        <f t="shared" si="3"/>
        <v>0.89743589743589747</v>
      </c>
      <c r="M29" s="276">
        <v>0.41599999999999998</v>
      </c>
      <c r="N29" s="326">
        <f t="shared" si="4"/>
        <v>0.37333333333333335</v>
      </c>
      <c r="O29" s="453"/>
      <c r="P29" s="392">
        <f t="shared" si="5"/>
        <v>0</v>
      </c>
      <c r="Q29" s="453"/>
      <c r="R29" s="392">
        <f t="shared" si="6"/>
        <v>0</v>
      </c>
      <c r="S29" s="453"/>
      <c r="T29" s="392">
        <f t="shared" si="7"/>
        <v>0</v>
      </c>
      <c r="U29" s="453"/>
      <c r="V29" s="392">
        <f t="shared" si="8"/>
        <v>0</v>
      </c>
      <c r="W29" s="453"/>
      <c r="X29" s="392">
        <f t="shared" si="9"/>
        <v>0</v>
      </c>
      <c r="Y29" s="392">
        <f t="shared" si="10"/>
        <v>0</v>
      </c>
      <c r="Z29" s="296"/>
    </row>
    <row r="30" spans="2:26" ht="21" customHeight="1">
      <c r="C30" s="44"/>
      <c r="G30" s="447" t="s">
        <v>54</v>
      </c>
      <c r="H30" s="44">
        <f>SUM(H4:H29)</f>
        <v>5808</v>
      </c>
      <c r="I30" s="448" t="s">
        <v>310</v>
      </c>
      <c r="J30" s="44">
        <f>SUM(J4:J29)</f>
        <v>484</v>
      </c>
      <c r="K30" s="44">
        <f>SUM(K4:K29)</f>
        <v>20592000</v>
      </c>
      <c r="L30" s="101">
        <f>SUM(L4:L29)</f>
        <v>1</v>
      </c>
      <c r="M30" s="102" t="s">
        <v>55</v>
      </c>
      <c r="N30" s="205">
        <f>SUM(N4:N29)</f>
        <v>0.44512820512820517</v>
      </c>
      <c r="O30" s="299"/>
      <c r="P30" s="399">
        <f>SUM(P4:P29)</f>
        <v>264000</v>
      </c>
      <c r="Q30" s="399"/>
      <c r="R30" s="399">
        <f t="shared" ref="R30:Y30" si="22">SUM(R4:R29)</f>
        <v>52800</v>
      </c>
      <c r="S30" s="399"/>
      <c r="T30" s="399">
        <f t="shared" si="22"/>
        <v>0</v>
      </c>
      <c r="U30" s="399"/>
      <c r="V30" s="399">
        <f t="shared" si="22"/>
        <v>0</v>
      </c>
      <c r="W30" s="399"/>
      <c r="X30" s="399">
        <f t="shared" si="22"/>
        <v>0</v>
      </c>
      <c r="Y30" s="399">
        <f t="shared" si="22"/>
        <v>316800</v>
      </c>
    </row>
    <row r="31" spans="2:26" ht="24.75" customHeight="1">
      <c r="I31" s="103"/>
    </row>
    <row r="32" spans="2:26">
      <c r="I32" s="103"/>
      <c r="K32" s="199" t="s">
        <v>56</v>
      </c>
    </row>
    <row r="33" spans="2:12">
      <c r="I33" s="103"/>
      <c r="K33" s="200">
        <f>+②経費の積算!F2</f>
        <v>12</v>
      </c>
      <c r="L33" s="32" t="s">
        <v>57</v>
      </c>
    </row>
    <row r="34" spans="2:12">
      <c r="I34" s="103"/>
      <c r="K34" s="550"/>
    </row>
    <row r="35" spans="2:12">
      <c r="I35" s="103"/>
      <c r="K35" s="550"/>
    </row>
    <row r="36" spans="2:12">
      <c r="I36" s="103"/>
      <c r="K36" s="550"/>
    </row>
    <row r="37" spans="2:12">
      <c r="B37" s="32"/>
      <c r="I37" s="103"/>
    </row>
    <row r="38" spans="2:12">
      <c r="B38" s="32"/>
      <c r="I38" s="103"/>
    </row>
    <row r="39" spans="2:12">
      <c r="B39" s="32"/>
      <c r="I39" s="103"/>
    </row>
    <row r="40" spans="2:12" ht="25.15" customHeight="1">
      <c r="B40" s="542" t="s">
        <v>395</v>
      </c>
    </row>
    <row r="41" spans="2:12" ht="21.6" customHeight="1">
      <c r="B41" s="273" t="s">
        <v>380</v>
      </c>
    </row>
    <row r="42" spans="2:12" ht="21.6" customHeight="1">
      <c r="B42" s="548" t="s">
        <v>396</v>
      </c>
      <c r="C42" s="543"/>
      <c r="D42" s="206"/>
      <c r="E42" s="206"/>
      <c r="F42" s="206"/>
      <c r="I42" s="103"/>
    </row>
    <row r="43" spans="2:12" ht="21.6" customHeight="1">
      <c r="B43" s="548" t="s">
        <v>397</v>
      </c>
      <c r="C43" s="543"/>
      <c r="D43" s="206"/>
      <c r="E43" s="206"/>
      <c r="F43" s="206"/>
      <c r="I43" s="103"/>
    </row>
    <row r="44" spans="2:12" ht="21.6" customHeight="1">
      <c r="B44" s="273" t="s">
        <v>398</v>
      </c>
      <c r="I44" s="103"/>
    </row>
    <row r="45" spans="2:12" ht="21.6" customHeight="1">
      <c r="B45" s="241" t="s">
        <v>245</v>
      </c>
      <c r="I45" s="103"/>
    </row>
    <row r="46" spans="2:12" ht="17.25">
      <c r="B46" s="241"/>
      <c r="I46" s="103"/>
    </row>
    <row r="48" spans="2:12" ht="17.25">
      <c r="B48" s="542" t="s">
        <v>367</v>
      </c>
      <c r="C48" s="32"/>
      <c r="E48" s="33"/>
      <c r="F48" s="33"/>
    </row>
    <row r="49" spans="2:14">
      <c r="B49" s="549" t="s">
        <v>364</v>
      </c>
      <c r="C49" s="537" t="s">
        <v>393</v>
      </c>
      <c r="D49" s="538" t="s">
        <v>394</v>
      </c>
    </row>
    <row r="50" spans="2:14">
      <c r="B50" s="532" t="s">
        <v>389</v>
      </c>
      <c r="C50" s="528">
        <v>0.37</v>
      </c>
      <c r="D50" s="536">
        <f>+C50</f>
        <v>0.37</v>
      </c>
      <c r="E50" s="534" t="s">
        <v>399</v>
      </c>
    </row>
    <row r="51" spans="2:14" ht="13.15" customHeight="1">
      <c r="B51" s="530" t="s">
        <v>401</v>
      </c>
      <c r="C51" s="528">
        <v>0.22800000000000001</v>
      </c>
      <c r="D51" s="531">
        <f>ROUND(C51*C52,0)</f>
        <v>2871</v>
      </c>
      <c r="E51" s="33" t="s">
        <v>403</v>
      </c>
    </row>
    <row r="52" spans="2:14" ht="13.15" customHeight="1">
      <c r="B52" s="530" t="s">
        <v>400</v>
      </c>
      <c r="C52" s="174">
        <v>12594</v>
      </c>
      <c r="D52" s="531">
        <f>+C52</f>
        <v>12594</v>
      </c>
      <c r="E52" s="33" t="s">
        <v>402</v>
      </c>
    </row>
    <row r="53" spans="2:14">
      <c r="B53" s="32" t="s">
        <v>404</v>
      </c>
      <c r="D53" s="33"/>
      <c r="L53" s="33"/>
      <c r="M53" s="33"/>
      <c r="N53" s="33"/>
    </row>
    <row r="54" spans="2:14">
      <c r="B54" s="33" t="s">
        <v>405</v>
      </c>
      <c r="D54" s="33"/>
    </row>
    <row r="55" spans="2:14">
      <c r="B55" s="33"/>
      <c r="D55" s="33"/>
    </row>
    <row r="57" spans="2:14" ht="17.25">
      <c r="B57" s="542" t="s">
        <v>381</v>
      </c>
      <c r="D57" s="33"/>
    </row>
    <row r="58" spans="2:14">
      <c r="B58" s="539" t="s">
        <v>364</v>
      </c>
      <c r="C58" s="537" t="s">
        <v>393</v>
      </c>
      <c r="D58" s="538" t="s">
        <v>394</v>
      </c>
    </row>
    <row r="59" spans="2:14">
      <c r="B59" s="533" t="s">
        <v>365</v>
      </c>
      <c r="C59" s="528">
        <v>0.41599999999999998</v>
      </c>
      <c r="D59" s="535">
        <f>+C59</f>
        <v>0.41599999999999998</v>
      </c>
    </row>
    <row r="60" spans="2:14">
      <c r="B60" s="533" t="s">
        <v>366</v>
      </c>
      <c r="C60" s="528">
        <v>0.29899999999999999</v>
      </c>
      <c r="D60" s="531">
        <f>ROUND(D61*C60,0)</f>
        <v>6230</v>
      </c>
    </row>
    <row r="61" spans="2:14">
      <c r="B61" s="533" t="s">
        <v>363</v>
      </c>
      <c r="C61" s="174">
        <v>20835</v>
      </c>
      <c r="D61" s="529">
        <f>+C61</f>
        <v>20835</v>
      </c>
      <c r="E61" s="33"/>
      <c r="F61" s="33"/>
      <c r="G61" s="33"/>
    </row>
    <row r="62" spans="2:14">
      <c r="E62" s="33"/>
      <c r="F62" s="33"/>
      <c r="G62" s="33"/>
    </row>
    <row r="65" spans="2:9">
      <c r="E65" s="33"/>
      <c r="F65" s="33"/>
      <c r="G65" s="33"/>
    </row>
    <row r="68" spans="2:9" ht="17.25">
      <c r="B68" s="542" t="s">
        <v>390</v>
      </c>
      <c r="I68" s="103"/>
    </row>
    <row r="69" spans="2:9" ht="18" customHeight="1">
      <c r="B69" s="477" t="s">
        <v>368</v>
      </c>
    </row>
    <row r="70" spans="2:9" ht="18" customHeight="1">
      <c r="B70" s="477" t="s">
        <v>371</v>
      </c>
    </row>
    <row r="71" spans="2:9" ht="18" customHeight="1">
      <c r="B71" s="477" t="s">
        <v>369</v>
      </c>
    </row>
    <row r="72" spans="2:9" ht="15">
      <c r="B72" s="478" t="s">
        <v>377</v>
      </c>
    </row>
    <row r="73" spans="2:9" ht="17.25">
      <c r="B73" s="479" t="s">
        <v>321</v>
      </c>
    </row>
    <row r="75" spans="2:9" ht="21.6" customHeight="1">
      <c r="B75" s="542" t="s">
        <v>391</v>
      </c>
    </row>
    <row r="76" spans="2:9" ht="21.6" customHeight="1">
      <c r="B76" s="540" t="s">
        <v>374</v>
      </c>
    </row>
    <row r="77" spans="2:9" ht="21.6" customHeight="1">
      <c r="B77" s="540" t="s">
        <v>375</v>
      </c>
    </row>
    <row r="78" spans="2:9" ht="21.6" customHeight="1">
      <c r="B78" s="541" t="s">
        <v>376</v>
      </c>
    </row>
    <row r="79" spans="2:9">
      <c r="B79" s="31" t="s">
        <v>378</v>
      </c>
    </row>
    <row r="80" spans="2:9" ht="17.25">
      <c r="B80" s="241" t="s">
        <v>379</v>
      </c>
    </row>
    <row r="82" spans="2:2" ht="18.600000000000001" customHeight="1">
      <c r="B82" s="542" t="s">
        <v>392</v>
      </c>
    </row>
    <row r="83" spans="2:2" ht="18.600000000000001" customHeight="1">
      <c r="B83" s="273" t="s">
        <v>370</v>
      </c>
    </row>
    <row r="84" spans="2:2" ht="18.600000000000001" customHeight="1">
      <c r="B84" s="273" t="s">
        <v>372</v>
      </c>
    </row>
    <row r="85" spans="2:2" ht="18.600000000000001" customHeight="1">
      <c r="B85" s="273" t="s">
        <v>373</v>
      </c>
    </row>
    <row r="86" spans="2:2" ht="15">
      <c r="B86" s="478" t="s">
        <v>320</v>
      </c>
    </row>
    <row r="87" spans="2:2" ht="17.25">
      <c r="B87" s="295" t="s">
        <v>322</v>
      </c>
    </row>
  </sheetData>
  <mergeCells count="9">
    <mergeCell ref="A2:A3"/>
    <mergeCell ref="B2:B3"/>
    <mergeCell ref="I2:J2"/>
    <mergeCell ref="Z2:Z3"/>
    <mergeCell ref="O2:P2"/>
    <mergeCell ref="Q2:R2"/>
    <mergeCell ref="S2:T2"/>
    <mergeCell ref="U2:V2"/>
    <mergeCell ref="W2:X2"/>
  </mergeCells>
  <phoneticPr fontId="3"/>
  <hyperlinks>
    <hyperlink ref="B45" r:id="rId1"/>
    <hyperlink ref="B73" r:id="rId2"/>
    <hyperlink ref="B87" r:id="rId3"/>
    <hyperlink ref="B80" r:id="rId4"/>
  </hyperlinks>
  <pageMargins left="0.23622047244094491" right="0.23622047244094491" top="0.15748031496062992" bottom="0.15748031496062992" header="0.31496062992125984" footer="0.31496062992125984"/>
  <pageSetup paperSize="8" scale="59" orientation="landscape" r:id="rId5"/>
  <drawing r:id="rId6"/>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A1:I49"/>
  <sheetViews>
    <sheetView topLeftCell="A16" zoomScale="106" zoomScaleNormal="106" workbookViewId="0">
      <selection activeCell="D32" sqref="D32"/>
    </sheetView>
  </sheetViews>
  <sheetFormatPr defaultRowHeight="17.25"/>
  <cols>
    <col min="1" max="1" width="3" style="37" customWidth="1"/>
    <col min="2" max="2" width="12.5" style="37" bestFit="1" customWidth="1"/>
    <col min="3" max="3" width="8.69921875" style="99" customWidth="1"/>
    <col min="4" max="4" width="11.69921875" style="99" customWidth="1"/>
    <col min="5" max="5" width="39.69921875" style="37" customWidth="1"/>
    <col min="6" max="6" width="8.796875" style="37" customWidth="1"/>
    <col min="7" max="7" width="4.19921875" style="37" customWidth="1"/>
    <col min="8" max="8" width="11.69921875" style="37" customWidth="1"/>
    <col min="9" max="255" width="9" style="37"/>
    <col min="256" max="256" width="3" style="37" customWidth="1"/>
    <col min="257" max="257" width="12.5" style="37" bestFit="1" customWidth="1"/>
    <col min="258" max="259" width="8.59765625" style="37" customWidth="1"/>
    <col min="260" max="260" width="10.69921875" style="37" bestFit="1" customWidth="1"/>
    <col min="261" max="511" width="9" style="37"/>
    <col min="512" max="512" width="3" style="37" customWidth="1"/>
    <col min="513" max="513" width="12.5" style="37" bestFit="1" customWidth="1"/>
    <col min="514" max="515" width="8.59765625" style="37" customWidth="1"/>
    <col min="516" max="516" width="10.69921875" style="37" bestFit="1" customWidth="1"/>
    <col min="517" max="767" width="9" style="37"/>
    <col min="768" max="768" width="3" style="37" customWidth="1"/>
    <col min="769" max="769" width="12.5" style="37" bestFit="1" customWidth="1"/>
    <col min="770" max="771" width="8.59765625" style="37" customWidth="1"/>
    <col min="772" max="772" width="10.69921875" style="37" bestFit="1" customWidth="1"/>
    <col min="773" max="1023" width="9" style="37"/>
    <col min="1024" max="1024" width="3" style="37" customWidth="1"/>
    <col min="1025" max="1025" width="12.5" style="37" bestFit="1" customWidth="1"/>
    <col min="1026" max="1027" width="8.59765625" style="37" customWidth="1"/>
    <col min="1028" max="1028" width="10.69921875" style="37" bestFit="1" customWidth="1"/>
    <col min="1029" max="1279" width="9" style="37"/>
    <col min="1280" max="1280" width="3" style="37" customWidth="1"/>
    <col min="1281" max="1281" width="12.5" style="37" bestFit="1" customWidth="1"/>
    <col min="1282" max="1283" width="8.59765625" style="37" customWidth="1"/>
    <col min="1284" max="1284" width="10.69921875" style="37" bestFit="1" customWidth="1"/>
    <col min="1285" max="1535" width="9" style="37"/>
    <col min="1536" max="1536" width="3" style="37" customWidth="1"/>
    <col min="1537" max="1537" width="12.5" style="37" bestFit="1" customWidth="1"/>
    <col min="1538" max="1539" width="8.59765625" style="37" customWidth="1"/>
    <col min="1540" max="1540" width="10.69921875" style="37" bestFit="1" customWidth="1"/>
    <col min="1541" max="1791" width="9" style="37"/>
    <col min="1792" max="1792" width="3" style="37" customWidth="1"/>
    <col min="1793" max="1793" width="12.5" style="37" bestFit="1" customWidth="1"/>
    <col min="1794" max="1795" width="8.59765625" style="37" customWidth="1"/>
    <col min="1796" max="1796" width="10.69921875" style="37" bestFit="1" customWidth="1"/>
    <col min="1797" max="2047" width="9" style="37"/>
    <col min="2048" max="2048" width="3" style="37" customWidth="1"/>
    <col min="2049" max="2049" width="12.5" style="37" bestFit="1" customWidth="1"/>
    <col min="2050" max="2051" width="8.59765625" style="37" customWidth="1"/>
    <col min="2052" max="2052" width="10.69921875" style="37" bestFit="1" customWidth="1"/>
    <col min="2053" max="2303" width="9" style="37"/>
    <col min="2304" max="2304" width="3" style="37" customWidth="1"/>
    <col min="2305" max="2305" width="12.5" style="37" bestFit="1" customWidth="1"/>
    <col min="2306" max="2307" width="8.59765625" style="37" customWidth="1"/>
    <col min="2308" max="2308" width="10.69921875" style="37" bestFit="1" customWidth="1"/>
    <col min="2309" max="2559" width="9" style="37"/>
    <col min="2560" max="2560" width="3" style="37" customWidth="1"/>
    <col min="2561" max="2561" width="12.5" style="37" bestFit="1" customWidth="1"/>
    <col min="2562" max="2563" width="8.59765625" style="37" customWidth="1"/>
    <col min="2564" max="2564" width="10.69921875" style="37" bestFit="1" customWidth="1"/>
    <col min="2565" max="2815" width="9" style="37"/>
    <col min="2816" max="2816" width="3" style="37" customWidth="1"/>
    <col min="2817" max="2817" width="12.5" style="37" bestFit="1" customWidth="1"/>
    <col min="2818" max="2819" width="8.59765625" style="37" customWidth="1"/>
    <col min="2820" max="2820" width="10.69921875" style="37" bestFit="1" customWidth="1"/>
    <col min="2821" max="3071" width="9" style="37"/>
    <col min="3072" max="3072" width="3" style="37" customWidth="1"/>
    <col min="3073" max="3073" width="12.5" style="37" bestFit="1" customWidth="1"/>
    <col min="3074" max="3075" width="8.59765625" style="37" customWidth="1"/>
    <col min="3076" max="3076" width="10.69921875" style="37" bestFit="1" customWidth="1"/>
    <col min="3077" max="3327" width="9" style="37"/>
    <col min="3328" max="3328" width="3" style="37" customWidth="1"/>
    <col min="3329" max="3329" width="12.5" style="37" bestFit="1" customWidth="1"/>
    <col min="3330" max="3331" width="8.59765625" style="37" customWidth="1"/>
    <col min="3332" max="3332" width="10.69921875" style="37" bestFit="1" customWidth="1"/>
    <col min="3333" max="3583" width="9" style="37"/>
    <col min="3584" max="3584" width="3" style="37" customWidth="1"/>
    <col min="3585" max="3585" width="12.5" style="37" bestFit="1" customWidth="1"/>
    <col min="3586" max="3587" width="8.59765625" style="37" customWidth="1"/>
    <col min="3588" max="3588" width="10.69921875" style="37" bestFit="1" customWidth="1"/>
    <col min="3589" max="3839" width="9" style="37"/>
    <col min="3840" max="3840" width="3" style="37" customWidth="1"/>
    <col min="3841" max="3841" width="12.5" style="37" bestFit="1" customWidth="1"/>
    <col min="3842" max="3843" width="8.59765625" style="37" customWidth="1"/>
    <col min="3844" max="3844" width="10.69921875" style="37" bestFit="1" customWidth="1"/>
    <col min="3845" max="4095" width="9" style="37"/>
    <col min="4096" max="4096" width="3" style="37" customWidth="1"/>
    <col min="4097" max="4097" width="12.5" style="37" bestFit="1" customWidth="1"/>
    <col min="4098" max="4099" width="8.59765625" style="37" customWidth="1"/>
    <col min="4100" max="4100" width="10.69921875" style="37" bestFit="1" customWidth="1"/>
    <col min="4101" max="4351" width="9" style="37"/>
    <col min="4352" max="4352" width="3" style="37" customWidth="1"/>
    <col min="4353" max="4353" width="12.5" style="37" bestFit="1" customWidth="1"/>
    <col min="4354" max="4355" width="8.59765625" style="37" customWidth="1"/>
    <col min="4356" max="4356" width="10.69921875" style="37" bestFit="1" customWidth="1"/>
    <col min="4357" max="4607" width="9" style="37"/>
    <col min="4608" max="4608" width="3" style="37" customWidth="1"/>
    <col min="4609" max="4609" width="12.5" style="37" bestFit="1" customWidth="1"/>
    <col min="4610" max="4611" width="8.59765625" style="37" customWidth="1"/>
    <col min="4612" max="4612" width="10.69921875" style="37" bestFit="1" customWidth="1"/>
    <col min="4613" max="4863" width="9" style="37"/>
    <col min="4864" max="4864" width="3" style="37" customWidth="1"/>
    <col min="4865" max="4865" width="12.5" style="37" bestFit="1" customWidth="1"/>
    <col min="4866" max="4867" width="8.59765625" style="37" customWidth="1"/>
    <col min="4868" max="4868" width="10.69921875" style="37" bestFit="1" customWidth="1"/>
    <col min="4869" max="5119" width="9" style="37"/>
    <col min="5120" max="5120" width="3" style="37" customWidth="1"/>
    <col min="5121" max="5121" width="12.5" style="37" bestFit="1" customWidth="1"/>
    <col min="5122" max="5123" width="8.59765625" style="37" customWidth="1"/>
    <col min="5124" max="5124" width="10.69921875" style="37" bestFit="1" customWidth="1"/>
    <col min="5125" max="5375" width="9" style="37"/>
    <col min="5376" max="5376" width="3" style="37" customWidth="1"/>
    <col min="5377" max="5377" width="12.5" style="37" bestFit="1" customWidth="1"/>
    <col min="5378" max="5379" width="8.59765625" style="37" customWidth="1"/>
    <col min="5380" max="5380" width="10.69921875" style="37" bestFit="1" customWidth="1"/>
    <col min="5381" max="5631" width="9" style="37"/>
    <col min="5632" max="5632" width="3" style="37" customWidth="1"/>
    <col min="5633" max="5633" width="12.5" style="37" bestFit="1" customWidth="1"/>
    <col min="5634" max="5635" width="8.59765625" style="37" customWidth="1"/>
    <col min="5636" max="5636" width="10.69921875" style="37" bestFit="1" customWidth="1"/>
    <col min="5637" max="5887" width="9" style="37"/>
    <col min="5888" max="5888" width="3" style="37" customWidth="1"/>
    <col min="5889" max="5889" width="12.5" style="37" bestFit="1" customWidth="1"/>
    <col min="5890" max="5891" width="8.59765625" style="37" customWidth="1"/>
    <col min="5892" max="5892" width="10.69921875" style="37" bestFit="1" customWidth="1"/>
    <col min="5893" max="6143" width="9" style="37"/>
    <col min="6144" max="6144" width="3" style="37" customWidth="1"/>
    <col min="6145" max="6145" width="12.5" style="37" bestFit="1" customWidth="1"/>
    <col min="6146" max="6147" width="8.59765625" style="37" customWidth="1"/>
    <col min="6148" max="6148" width="10.69921875" style="37" bestFit="1" customWidth="1"/>
    <col min="6149" max="6399" width="9" style="37"/>
    <col min="6400" max="6400" width="3" style="37" customWidth="1"/>
    <col min="6401" max="6401" width="12.5" style="37" bestFit="1" customWidth="1"/>
    <col min="6402" max="6403" width="8.59765625" style="37" customWidth="1"/>
    <col min="6404" max="6404" width="10.69921875" style="37" bestFit="1" customWidth="1"/>
    <col min="6405" max="6655" width="9" style="37"/>
    <col min="6656" max="6656" width="3" style="37" customWidth="1"/>
    <col min="6657" max="6657" width="12.5" style="37" bestFit="1" customWidth="1"/>
    <col min="6658" max="6659" width="8.59765625" style="37" customWidth="1"/>
    <col min="6660" max="6660" width="10.69921875" style="37" bestFit="1" customWidth="1"/>
    <col min="6661" max="6911" width="9" style="37"/>
    <col min="6912" max="6912" width="3" style="37" customWidth="1"/>
    <col min="6913" max="6913" width="12.5" style="37" bestFit="1" customWidth="1"/>
    <col min="6914" max="6915" width="8.59765625" style="37" customWidth="1"/>
    <col min="6916" max="6916" width="10.69921875" style="37" bestFit="1" customWidth="1"/>
    <col min="6917" max="7167" width="9" style="37"/>
    <col min="7168" max="7168" width="3" style="37" customWidth="1"/>
    <col min="7169" max="7169" width="12.5" style="37" bestFit="1" customWidth="1"/>
    <col min="7170" max="7171" width="8.59765625" style="37" customWidth="1"/>
    <col min="7172" max="7172" width="10.69921875" style="37" bestFit="1" customWidth="1"/>
    <col min="7173" max="7423" width="9" style="37"/>
    <col min="7424" max="7424" width="3" style="37" customWidth="1"/>
    <col min="7425" max="7425" width="12.5" style="37" bestFit="1" customWidth="1"/>
    <col min="7426" max="7427" width="8.59765625" style="37" customWidth="1"/>
    <col min="7428" max="7428" width="10.69921875" style="37" bestFit="1" customWidth="1"/>
    <col min="7429" max="7679" width="9" style="37"/>
    <col min="7680" max="7680" width="3" style="37" customWidth="1"/>
    <col min="7681" max="7681" width="12.5" style="37" bestFit="1" customWidth="1"/>
    <col min="7682" max="7683" width="8.59765625" style="37" customWidth="1"/>
    <col min="7684" max="7684" width="10.69921875" style="37" bestFit="1" customWidth="1"/>
    <col min="7685" max="7935" width="9" style="37"/>
    <col min="7936" max="7936" width="3" style="37" customWidth="1"/>
    <col min="7937" max="7937" width="12.5" style="37" bestFit="1" customWidth="1"/>
    <col min="7938" max="7939" width="8.59765625" style="37" customWidth="1"/>
    <col min="7940" max="7940" width="10.69921875" style="37" bestFit="1" customWidth="1"/>
    <col min="7941" max="8191" width="9" style="37"/>
    <col min="8192" max="8192" width="3" style="37" customWidth="1"/>
    <col min="8193" max="8193" width="12.5" style="37" bestFit="1" customWidth="1"/>
    <col min="8194" max="8195" width="8.59765625" style="37" customWidth="1"/>
    <col min="8196" max="8196" width="10.69921875" style="37" bestFit="1" customWidth="1"/>
    <col min="8197" max="8447" width="9" style="37"/>
    <col min="8448" max="8448" width="3" style="37" customWidth="1"/>
    <col min="8449" max="8449" width="12.5" style="37" bestFit="1" customWidth="1"/>
    <col min="8450" max="8451" width="8.59765625" style="37" customWidth="1"/>
    <col min="8452" max="8452" width="10.69921875" style="37" bestFit="1" customWidth="1"/>
    <col min="8453" max="8703" width="9" style="37"/>
    <col min="8704" max="8704" width="3" style="37" customWidth="1"/>
    <col min="8705" max="8705" width="12.5" style="37" bestFit="1" customWidth="1"/>
    <col min="8706" max="8707" width="8.59765625" style="37" customWidth="1"/>
    <col min="8708" max="8708" width="10.69921875" style="37" bestFit="1" customWidth="1"/>
    <col min="8709" max="8959" width="9" style="37"/>
    <col min="8960" max="8960" width="3" style="37" customWidth="1"/>
    <col min="8961" max="8961" width="12.5" style="37" bestFit="1" customWidth="1"/>
    <col min="8962" max="8963" width="8.59765625" style="37" customWidth="1"/>
    <col min="8964" max="8964" width="10.69921875" style="37" bestFit="1" customWidth="1"/>
    <col min="8965" max="9215" width="9" style="37"/>
    <col min="9216" max="9216" width="3" style="37" customWidth="1"/>
    <col min="9217" max="9217" width="12.5" style="37" bestFit="1" customWidth="1"/>
    <col min="9218" max="9219" width="8.59765625" style="37" customWidth="1"/>
    <col min="9220" max="9220" width="10.69921875" style="37" bestFit="1" customWidth="1"/>
    <col min="9221" max="9471" width="9" style="37"/>
    <col min="9472" max="9472" width="3" style="37" customWidth="1"/>
    <col min="9473" max="9473" width="12.5" style="37" bestFit="1" customWidth="1"/>
    <col min="9474" max="9475" width="8.59765625" style="37" customWidth="1"/>
    <col min="9476" max="9476" width="10.69921875" style="37" bestFit="1" customWidth="1"/>
    <col min="9477" max="9727" width="9" style="37"/>
    <col min="9728" max="9728" width="3" style="37" customWidth="1"/>
    <col min="9729" max="9729" width="12.5" style="37" bestFit="1" customWidth="1"/>
    <col min="9730" max="9731" width="8.59765625" style="37" customWidth="1"/>
    <col min="9732" max="9732" width="10.69921875" style="37" bestFit="1" customWidth="1"/>
    <col min="9733" max="9983" width="9" style="37"/>
    <col min="9984" max="9984" width="3" style="37" customWidth="1"/>
    <col min="9985" max="9985" width="12.5" style="37" bestFit="1" customWidth="1"/>
    <col min="9986" max="9987" width="8.59765625" style="37" customWidth="1"/>
    <col min="9988" max="9988" width="10.69921875" style="37" bestFit="1" customWidth="1"/>
    <col min="9989" max="10239" width="9" style="37"/>
    <col min="10240" max="10240" width="3" style="37" customWidth="1"/>
    <col min="10241" max="10241" width="12.5" style="37" bestFit="1" customWidth="1"/>
    <col min="10242" max="10243" width="8.59765625" style="37" customWidth="1"/>
    <col min="10244" max="10244" width="10.69921875" style="37" bestFit="1" customWidth="1"/>
    <col min="10245" max="10495" width="9" style="37"/>
    <col min="10496" max="10496" width="3" style="37" customWidth="1"/>
    <col min="10497" max="10497" width="12.5" style="37" bestFit="1" customWidth="1"/>
    <col min="10498" max="10499" width="8.59765625" style="37" customWidth="1"/>
    <col min="10500" max="10500" width="10.69921875" style="37" bestFit="1" customWidth="1"/>
    <col min="10501" max="10751" width="9" style="37"/>
    <col min="10752" max="10752" width="3" style="37" customWidth="1"/>
    <col min="10753" max="10753" width="12.5" style="37" bestFit="1" customWidth="1"/>
    <col min="10754" max="10755" width="8.59765625" style="37" customWidth="1"/>
    <col min="10756" max="10756" width="10.69921875" style="37" bestFit="1" customWidth="1"/>
    <col min="10757" max="11007" width="9" style="37"/>
    <col min="11008" max="11008" width="3" style="37" customWidth="1"/>
    <col min="11009" max="11009" width="12.5" style="37" bestFit="1" customWidth="1"/>
    <col min="11010" max="11011" width="8.59765625" style="37" customWidth="1"/>
    <col min="11012" max="11012" width="10.69921875" style="37" bestFit="1" customWidth="1"/>
    <col min="11013" max="11263" width="9" style="37"/>
    <col min="11264" max="11264" width="3" style="37" customWidth="1"/>
    <col min="11265" max="11265" width="12.5" style="37" bestFit="1" customWidth="1"/>
    <col min="11266" max="11267" width="8.59765625" style="37" customWidth="1"/>
    <col min="11268" max="11268" width="10.69921875" style="37" bestFit="1" customWidth="1"/>
    <col min="11269" max="11519" width="9" style="37"/>
    <col min="11520" max="11520" width="3" style="37" customWidth="1"/>
    <col min="11521" max="11521" width="12.5" style="37" bestFit="1" customWidth="1"/>
    <col min="11522" max="11523" width="8.59765625" style="37" customWidth="1"/>
    <col min="11524" max="11524" width="10.69921875" style="37" bestFit="1" customWidth="1"/>
    <col min="11525" max="11775" width="9" style="37"/>
    <col min="11776" max="11776" width="3" style="37" customWidth="1"/>
    <col min="11777" max="11777" width="12.5" style="37" bestFit="1" customWidth="1"/>
    <col min="11778" max="11779" width="8.59765625" style="37" customWidth="1"/>
    <col min="11780" max="11780" width="10.69921875" style="37" bestFit="1" customWidth="1"/>
    <col min="11781" max="12031" width="9" style="37"/>
    <col min="12032" max="12032" width="3" style="37" customWidth="1"/>
    <col min="12033" max="12033" width="12.5" style="37" bestFit="1" customWidth="1"/>
    <col min="12034" max="12035" width="8.59765625" style="37" customWidth="1"/>
    <col min="12036" max="12036" width="10.69921875" style="37" bestFit="1" customWidth="1"/>
    <col min="12037" max="12287" width="9" style="37"/>
    <col min="12288" max="12288" width="3" style="37" customWidth="1"/>
    <col min="12289" max="12289" width="12.5" style="37" bestFit="1" customWidth="1"/>
    <col min="12290" max="12291" width="8.59765625" style="37" customWidth="1"/>
    <col min="12292" max="12292" width="10.69921875" style="37" bestFit="1" customWidth="1"/>
    <col min="12293" max="12543" width="9" style="37"/>
    <col min="12544" max="12544" width="3" style="37" customWidth="1"/>
    <col min="12545" max="12545" width="12.5" style="37" bestFit="1" customWidth="1"/>
    <col min="12546" max="12547" width="8.59765625" style="37" customWidth="1"/>
    <col min="12548" max="12548" width="10.69921875" style="37" bestFit="1" customWidth="1"/>
    <col min="12549" max="12799" width="9" style="37"/>
    <col min="12800" max="12800" width="3" style="37" customWidth="1"/>
    <col min="12801" max="12801" width="12.5" style="37" bestFit="1" customWidth="1"/>
    <col min="12802" max="12803" width="8.59765625" style="37" customWidth="1"/>
    <col min="12804" max="12804" width="10.69921875" style="37" bestFit="1" customWidth="1"/>
    <col min="12805" max="13055" width="9" style="37"/>
    <col min="13056" max="13056" width="3" style="37" customWidth="1"/>
    <col min="13057" max="13057" width="12.5" style="37" bestFit="1" customWidth="1"/>
    <col min="13058" max="13059" width="8.59765625" style="37" customWidth="1"/>
    <col min="13060" max="13060" width="10.69921875" style="37" bestFit="1" customWidth="1"/>
    <col min="13061" max="13311" width="9" style="37"/>
    <col min="13312" max="13312" width="3" style="37" customWidth="1"/>
    <col min="13313" max="13313" width="12.5" style="37" bestFit="1" customWidth="1"/>
    <col min="13314" max="13315" width="8.59765625" style="37" customWidth="1"/>
    <col min="13316" max="13316" width="10.69921875" style="37" bestFit="1" customWidth="1"/>
    <col min="13317" max="13567" width="9" style="37"/>
    <col min="13568" max="13568" width="3" style="37" customWidth="1"/>
    <col min="13569" max="13569" width="12.5" style="37" bestFit="1" customWidth="1"/>
    <col min="13570" max="13571" width="8.59765625" style="37" customWidth="1"/>
    <col min="13572" max="13572" width="10.69921875" style="37" bestFit="1" customWidth="1"/>
    <col min="13573" max="13823" width="9" style="37"/>
    <col min="13824" max="13824" width="3" style="37" customWidth="1"/>
    <col min="13825" max="13825" width="12.5" style="37" bestFit="1" customWidth="1"/>
    <col min="13826" max="13827" width="8.59765625" style="37" customWidth="1"/>
    <col min="13828" max="13828" width="10.69921875" style="37" bestFit="1" customWidth="1"/>
    <col min="13829" max="14079" width="9" style="37"/>
    <col min="14080" max="14080" width="3" style="37" customWidth="1"/>
    <col min="14081" max="14081" width="12.5" style="37" bestFit="1" customWidth="1"/>
    <col min="14082" max="14083" width="8.59765625" style="37" customWidth="1"/>
    <col min="14084" max="14084" width="10.69921875" style="37" bestFit="1" customWidth="1"/>
    <col min="14085" max="14335" width="9" style="37"/>
    <col min="14336" max="14336" width="3" style="37" customWidth="1"/>
    <col min="14337" max="14337" width="12.5" style="37" bestFit="1" customWidth="1"/>
    <col min="14338" max="14339" width="8.59765625" style="37" customWidth="1"/>
    <col min="14340" max="14340" width="10.69921875" style="37" bestFit="1" customWidth="1"/>
    <col min="14341" max="14591" width="9" style="37"/>
    <col min="14592" max="14592" width="3" style="37" customWidth="1"/>
    <col min="14593" max="14593" width="12.5" style="37" bestFit="1" customWidth="1"/>
    <col min="14594" max="14595" width="8.59765625" style="37" customWidth="1"/>
    <col min="14596" max="14596" width="10.69921875" style="37" bestFit="1" customWidth="1"/>
    <col min="14597" max="14847" width="9" style="37"/>
    <col min="14848" max="14848" width="3" style="37" customWidth="1"/>
    <col min="14849" max="14849" width="12.5" style="37" bestFit="1" customWidth="1"/>
    <col min="14850" max="14851" width="8.59765625" style="37" customWidth="1"/>
    <col min="14852" max="14852" width="10.69921875" style="37" bestFit="1" customWidth="1"/>
    <col min="14853" max="15103" width="9" style="37"/>
    <col min="15104" max="15104" width="3" style="37" customWidth="1"/>
    <col min="15105" max="15105" width="12.5" style="37" bestFit="1" customWidth="1"/>
    <col min="15106" max="15107" width="8.59765625" style="37" customWidth="1"/>
    <col min="15108" max="15108" width="10.69921875" style="37" bestFit="1" customWidth="1"/>
    <col min="15109" max="15359" width="9" style="37"/>
    <col min="15360" max="15360" width="3" style="37" customWidth="1"/>
    <col min="15361" max="15361" width="12.5" style="37" bestFit="1" customWidth="1"/>
    <col min="15362" max="15363" width="8.59765625" style="37" customWidth="1"/>
    <col min="15364" max="15364" width="10.69921875" style="37" bestFit="1" customWidth="1"/>
    <col min="15365" max="15615" width="9" style="37"/>
    <col min="15616" max="15616" width="3" style="37" customWidth="1"/>
    <col min="15617" max="15617" width="12.5" style="37" bestFit="1" customWidth="1"/>
    <col min="15618" max="15619" width="8.59765625" style="37" customWidth="1"/>
    <col min="15620" max="15620" width="10.69921875" style="37" bestFit="1" customWidth="1"/>
    <col min="15621" max="15871" width="9" style="37"/>
    <col min="15872" max="15872" width="3" style="37" customWidth="1"/>
    <col min="15873" max="15873" width="12.5" style="37" bestFit="1" customWidth="1"/>
    <col min="15874" max="15875" width="8.59765625" style="37" customWidth="1"/>
    <col min="15876" max="15876" width="10.69921875" style="37" bestFit="1" customWidth="1"/>
    <col min="15877" max="16127" width="9" style="37"/>
    <col min="16128" max="16128" width="3" style="37" customWidth="1"/>
    <col min="16129" max="16129" width="12.5" style="37" bestFit="1" customWidth="1"/>
    <col min="16130" max="16131" width="8.59765625" style="37" customWidth="1"/>
    <col min="16132" max="16132" width="10.69921875" style="37" bestFit="1" customWidth="1"/>
    <col min="16133" max="16383" width="9" style="37"/>
    <col min="16384" max="16384" width="9" style="37" customWidth="1"/>
  </cols>
  <sheetData>
    <row r="1" spans="1:9" ht="24">
      <c r="A1" s="114" t="s">
        <v>275</v>
      </c>
      <c r="E1" s="234" t="s">
        <v>145</v>
      </c>
      <c r="F1" s="545" t="s">
        <v>384</v>
      </c>
    </row>
    <row r="2" spans="1:9" ht="27" customHeight="1">
      <c r="A2" s="353" t="s">
        <v>58</v>
      </c>
      <c r="B2" s="353" t="s">
        <v>59</v>
      </c>
      <c r="C2" s="354" t="s">
        <v>60</v>
      </c>
      <c r="D2" s="355" t="s">
        <v>195</v>
      </c>
      <c r="E2" s="356" t="s">
        <v>61</v>
      </c>
      <c r="F2" s="264">
        <v>12</v>
      </c>
      <c r="G2" s="43">
        <v>1</v>
      </c>
    </row>
    <row r="3" spans="1:9" ht="14.25">
      <c r="A3" s="352">
        <v>1</v>
      </c>
      <c r="B3" s="237" t="s">
        <v>134</v>
      </c>
      <c r="C3" s="113">
        <f>+INT(D3*$F$2/12)</f>
        <v>0</v>
      </c>
      <c r="D3" s="100"/>
      <c r="E3" s="43"/>
    </row>
    <row r="4" spans="1:9" ht="14.25">
      <c r="A4" s="352">
        <v>2</v>
      </c>
      <c r="B4" s="237" t="s">
        <v>62</v>
      </c>
      <c r="C4" s="113">
        <f t="shared" ref="C4:C32" si="0">+INT(D4*$F$2/12)</f>
        <v>0</v>
      </c>
      <c r="D4" s="100"/>
      <c r="E4" s="43"/>
    </row>
    <row r="5" spans="1:9" ht="14.25">
      <c r="A5" s="352">
        <v>3</v>
      </c>
      <c r="B5" s="237" t="s">
        <v>63</v>
      </c>
      <c r="C5" s="113">
        <f t="shared" si="0"/>
        <v>0</v>
      </c>
      <c r="D5" s="100"/>
      <c r="E5" s="43"/>
    </row>
    <row r="6" spans="1:9" ht="14.25">
      <c r="A6" s="352">
        <v>4</v>
      </c>
      <c r="B6" s="237" t="s">
        <v>64</v>
      </c>
      <c r="C6" s="113">
        <f t="shared" si="0"/>
        <v>0</v>
      </c>
      <c r="D6" s="100"/>
      <c r="E6" s="43"/>
    </row>
    <row r="7" spans="1:9" ht="14.25">
      <c r="A7" s="352">
        <v>5</v>
      </c>
      <c r="B7" s="237" t="s">
        <v>135</v>
      </c>
      <c r="C7" s="113">
        <f t="shared" si="0"/>
        <v>0</v>
      </c>
      <c r="D7" s="100"/>
      <c r="E7" s="43"/>
    </row>
    <row r="8" spans="1:9" ht="14.25">
      <c r="A8" s="352">
        <v>6</v>
      </c>
      <c r="B8" s="237" t="s">
        <v>65</v>
      </c>
      <c r="C8" s="113">
        <f t="shared" si="0"/>
        <v>0</v>
      </c>
      <c r="D8" s="100"/>
      <c r="E8" s="43"/>
    </row>
    <row r="9" spans="1:9" ht="14.25">
      <c r="A9" s="352">
        <v>7</v>
      </c>
      <c r="B9" s="237" t="s">
        <v>66</v>
      </c>
      <c r="C9" s="113">
        <f t="shared" si="0"/>
        <v>0</v>
      </c>
      <c r="D9" s="100"/>
      <c r="E9" s="43"/>
    </row>
    <row r="10" spans="1:9" ht="14.25">
      <c r="A10" s="352">
        <v>8</v>
      </c>
      <c r="B10" s="237" t="s">
        <v>67</v>
      </c>
      <c r="C10" s="113">
        <f t="shared" si="0"/>
        <v>0</v>
      </c>
      <c r="D10" s="100"/>
      <c r="E10" s="43"/>
      <c r="I10" s="37" t="s">
        <v>68</v>
      </c>
    </row>
    <row r="11" spans="1:9" ht="14.25">
      <c r="A11" s="352">
        <v>9</v>
      </c>
      <c r="B11" s="237" t="s">
        <v>69</v>
      </c>
      <c r="C11" s="113">
        <f t="shared" si="0"/>
        <v>0</v>
      </c>
      <c r="D11" s="100"/>
      <c r="E11" s="43"/>
    </row>
    <row r="12" spans="1:9" ht="14.25">
      <c r="A12" s="352">
        <v>10</v>
      </c>
      <c r="B12" s="237" t="s">
        <v>70</v>
      </c>
      <c r="C12" s="113">
        <f t="shared" si="0"/>
        <v>0</v>
      </c>
      <c r="D12" s="100"/>
      <c r="E12" s="43"/>
    </row>
    <row r="13" spans="1:9" ht="14.25">
      <c r="A13" s="352">
        <v>11</v>
      </c>
      <c r="B13" s="237" t="s">
        <v>136</v>
      </c>
      <c r="C13" s="113">
        <f t="shared" si="0"/>
        <v>0</v>
      </c>
      <c r="D13" s="100"/>
      <c r="E13" s="43"/>
    </row>
    <row r="14" spans="1:9" ht="14.25">
      <c r="A14" s="352">
        <v>12</v>
      </c>
      <c r="B14" s="237" t="s">
        <v>71</v>
      </c>
      <c r="C14" s="113">
        <f t="shared" si="0"/>
        <v>0</v>
      </c>
      <c r="D14" s="100"/>
      <c r="E14" s="43"/>
    </row>
    <row r="15" spans="1:9" ht="14.25">
      <c r="A15" s="352">
        <v>13</v>
      </c>
      <c r="B15" s="237"/>
      <c r="C15" s="113">
        <f t="shared" si="0"/>
        <v>0</v>
      </c>
      <c r="D15" s="100"/>
      <c r="E15" s="43"/>
    </row>
    <row r="16" spans="1:9" ht="14.25">
      <c r="A16" s="352">
        <v>14</v>
      </c>
      <c r="B16" s="237" t="s">
        <v>72</v>
      </c>
      <c r="C16" s="113">
        <f t="shared" si="0"/>
        <v>0</v>
      </c>
      <c r="D16" s="100"/>
      <c r="E16" s="43"/>
    </row>
    <row r="17" spans="1:5" ht="14.25">
      <c r="A17" s="352">
        <v>15</v>
      </c>
      <c r="B17" s="237" t="s">
        <v>73</v>
      </c>
      <c r="C17" s="113">
        <f t="shared" si="0"/>
        <v>0</v>
      </c>
      <c r="D17" s="209"/>
      <c r="E17" s="43"/>
    </row>
    <row r="18" spans="1:5" ht="14.25">
      <c r="A18" s="352">
        <v>16</v>
      </c>
      <c r="B18" s="440"/>
      <c r="C18" s="113">
        <f t="shared" si="0"/>
        <v>0</v>
      </c>
      <c r="D18" s="100"/>
      <c r="E18" s="43"/>
    </row>
    <row r="19" spans="1:5" ht="14.25">
      <c r="A19" s="352">
        <v>17</v>
      </c>
      <c r="B19" s="440"/>
      <c r="C19" s="113">
        <f t="shared" si="0"/>
        <v>0</v>
      </c>
      <c r="D19" s="100"/>
      <c r="E19" s="43"/>
    </row>
    <row r="20" spans="1:5" ht="14.25">
      <c r="A20" s="352">
        <v>18</v>
      </c>
      <c r="B20" s="440"/>
      <c r="C20" s="113">
        <f t="shared" si="0"/>
        <v>0</v>
      </c>
      <c r="D20" s="100"/>
      <c r="E20" s="43"/>
    </row>
    <row r="21" spans="1:5" ht="14.25">
      <c r="A21" s="352">
        <v>19</v>
      </c>
      <c r="B21" s="440"/>
      <c r="C21" s="113">
        <f t="shared" si="0"/>
        <v>0</v>
      </c>
      <c r="D21" s="100"/>
      <c r="E21" s="43"/>
    </row>
    <row r="22" spans="1:5" ht="14.25">
      <c r="A22" s="352">
        <v>20</v>
      </c>
      <c r="B22" s="440"/>
      <c r="C22" s="113">
        <f t="shared" si="0"/>
        <v>0</v>
      </c>
      <c r="D22" s="100"/>
      <c r="E22" s="43"/>
    </row>
    <row r="23" spans="1:5" ht="14.25">
      <c r="A23" s="352">
        <v>21</v>
      </c>
      <c r="B23" s="440"/>
      <c r="C23" s="113">
        <f t="shared" si="0"/>
        <v>0</v>
      </c>
      <c r="D23" s="100"/>
      <c r="E23" s="43"/>
    </row>
    <row r="24" spans="1:5" ht="14.25">
      <c r="A24" s="352">
        <v>22</v>
      </c>
      <c r="B24" s="440"/>
      <c r="C24" s="113">
        <f t="shared" si="0"/>
        <v>0</v>
      </c>
      <c r="D24" s="100"/>
      <c r="E24" s="43"/>
    </row>
    <row r="25" spans="1:5" ht="14.25">
      <c r="A25" s="352">
        <v>23</v>
      </c>
      <c r="B25" s="440"/>
      <c r="C25" s="113">
        <f t="shared" si="0"/>
        <v>0</v>
      </c>
      <c r="D25" s="100"/>
      <c r="E25" s="43"/>
    </row>
    <row r="26" spans="1:5" ht="14.25">
      <c r="A26" s="352">
        <v>24</v>
      </c>
      <c r="B26" s="440"/>
      <c r="C26" s="113">
        <f t="shared" si="0"/>
        <v>0</v>
      </c>
      <c r="D26" s="100"/>
      <c r="E26" s="43"/>
    </row>
    <row r="27" spans="1:5" ht="14.25">
      <c r="A27" s="352">
        <v>25</v>
      </c>
      <c r="B27" s="301" t="str">
        <f>+①売上の積算!O2</f>
        <v>送料</v>
      </c>
      <c r="C27" s="302">
        <f>+INT(D27*$F$2/12)</f>
        <v>264</v>
      </c>
      <c r="D27" s="302">
        <f>①売上の積算!P30/1000</f>
        <v>264</v>
      </c>
      <c r="E27" s="563" t="s">
        <v>302</v>
      </c>
    </row>
    <row r="28" spans="1:5" ht="14.25">
      <c r="A28" s="352">
        <v>26</v>
      </c>
      <c r="B28" s="301" t="str">
        <f>+①売上の積算!Q2</f>
        <v>箱代</v>
      </c>
      <c r="C28" s="302">
        <f t="shared" ref="C28:C31" si="1">+INT(D28*$F$2/12)</f>
        <v>52</v>
      </c>
      <c r="D28" s="302">
        <f>+①売上の積算!R30/1000</f>
        <v>52.8</v>
      </c>
      <c r="E28" s="564"/>
    </row>
    <row r="29" spans="1:5" ht="14.25">
      <c r="A29" s="352">
        <v>27</v>
      </c>
      <c r="B29" s="301" t="str">
        <f>+①売上の積算!S2</f>
        <v>C</v>
      </c>
      <c r="C29" s="302">
        <f t="shared" si="1"/>
        <v>0</v>
      </c>
      <c r="D29" s="302">
        <f>+①売上の積算!T30/1000</f>
        <v>0</v>
      </c>
      <c r="E29" s="564"/>
    </row>
    <row r="30" spans="1:5" ht="14.25">
      <c r="A30" s="352">
        <v>28</v>
      </c>
      <c r="B30" s="301" t="str">
        <f>+①売上の積算!U2</f>
        <v>D</v>
      </c>
      <c r="C30" s="302">
        <f t="shared" si="1"/>
        <v>0</v>
      </c>
      <c r="D30" s="302">
        <f>+①売上の積算!V30/1000</f>
        <v>0</v>
      </c>
      <c r="E30" s="564"/>
    </row>
    <row r="31" spans="1:5" ht="14.25">
      <c r="A31" s="352">
        <v>29</v>
      </c>
      <c r="B31" s="301" t="str">
        <f>+①売上の積算!W2</f>
        <v>E</v>
      </c>
      <c r="C31" s="302">
        <f t="shared" si="1"/>
        <v>0</v>
      </c>
      <c r="D31" s="302">
        <f>+①売上の積算!X30/1000</f>
        <v>0</v>
      </c>
      <c r="E31" s="565"/>
    </row>
    <row r="32" spans="1:5" ht="14.25">
      <c r="A32" s="352">
        <v>30</v>
      </c>
      <c r="B32" s="237" t="s">
        <v>74</v>
      </c>
      <c r="C32" s="113">
        <f t="shared" si="0"/>
        <v>6230</v>
      </c>
      <c r="D32" s="100">
        <v>6230</v>
      </c>
      <c r="E32" s="43"/>
    </row>
    <row r="33" spans="1:6" s="77" customFormat="1" ht="13.5">
      <c r="A33" s="349"/>
      <c r="B33" s="345" t="s">
        <v>75</v>
      </c>
      <c r="C33" s="346">
        <f>SUM(C3:C32)</f>
        <v>6546</v>
      </c>
      <c r="D33" s="346">
        <f>SUM(D3:D32)</f>
        <v>6546.8</v>
      </c>
      <c r="E33" s="345"/>
    </row>
    <row r="34" spans="1:6" ht="13.5">
      <c r="A34" s="350">
        <v>31</v>
      </c>
      <c r="B34" s="143" t="s">
        <v>144</v>
      </c>
      <c r="C34" s="113">
        <f t="shared" ref="C34:C37" si="2">+INT(D34*$F$2/12)</f>
        <v>0</v>
      </c>
      <c r="D34" s="198"/>
      <c r="E34" s="43"/>
    </row>
    <row r="35" spans="1:6" ht="13.5">
      <c r="A35" s="350">
        <v>32</v>
      </c>
      <c r="B35" s="143" t="s">
        <v>76</v>
      </c>
      <c r="C35" s="113">
        <f t="shared" si="2"/>
        <v>0</v>
      </c>
      <c r="D35" s="198"/>
      <c r="E35" s="43"/>
      <c r="F35" s="43">
        <v>0.03</v>
      </c>
    </row>
    <row r="36" spans="1:6" ht="13.5">
      <c r="A36" s="350">
        <v>33</v>
      </c>
      <c r="B36" s="43"/>
      <c r="C36" s="113">
        <f t="shared" si="2"/>
        <v>0</v>
      </c>
      <c r="D36" s="198"/>
      <c r="E36" s="43"/>
    </row>
    <row r="37" spans="1:6" ht="13.5">
      <c r="A37" s="350">
        <v>34</v>
      </c>
      <c r="B37" s="43"/>
      <c r="C37" s="113">
        <f t="shared" si="2"/>
        <v>0</v>
      </c>
      <c r="D37" s="198"/>
      <c r="E37" s="43"/>
    </row>
    <row r="38" spans="1:6" ht="13.5">
      <c r="A38" s="351"/>
      <c r="B38" s="347" t="s">
        <v>301</v>
      </c>
      <c r="C38" s="348">
        <f>SUM(C34:C37)</f>
        <v>0</v>
      </c>
      <c r="D38" s="348">
        <f>SUM(D34:D37)</f>
        <v>0</v>
      </c>
      <c r="E38" s="347"/>
    </row>
    <row r="39" spans="1:6" ht="13.5">
      <c r="A39" s="351"/>
      <c r="B39" s="347" t="s">
        <v>46</v>
      </c>
      <c r="C39" s="348">
        <f>+C38+C33</f>
        <v>6546</v>
      </c>
      <c r="D39" s="348">
        <f>+D38+D33</f>
        <v>6546.8</v>
      </c>
      <c r="E39" s="347"/>
    </row>
    <row r="49" spans="2:2">
      <c r="B49" s="245"/>
    </row>
  </sheetData>
  <mergeCells count="1">
    <mergeCell ref="E27:E31"/>
  </mergeCells>
  <phoneticPr fontId="3"/>
  <pageMargins left="0.75" right="0.75" top="1" bottom="1" header="0.51200000000000001" footer="0.51200000000000001"/>
  <pageSetup paperSize="8" scale="7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J141"/>
  <sheetViews>
    <sheetView zoomScale="95" zoomScaleNormal="95" workbookViewId="0">
      <pane ySplit="2" topLeftCell="A3" activePane="bottomLeft" state="frozen"/>
      <selection activeCell="O22" sqref="O22"/>
      <selection pane="bottomLeft" activeCell="K29" sqref="K29"/>
    </sheetView>
  </sheetViews>
  <sheetFormatPr defaultColWidth="7" defaultRowHeight="13.5"/>
  <cols>
    <col min="1" max="1" width="5.19921875" style="88" customWidth="1"/>
    <col min="2" max="2" width="8.3984375" style="235" customWidth="1"/>
    <col min="3" max="3" width="10.59765625" style="88" customWidth="1"/>
    <col min="4" max="4" width="20.69921875" style="88" customWidth="1"/>
    <col min="5" max="5" width="16.69921875" style="88" bestFit="1" customWidth="1"/>
    <col min="6" max="6" width="5.5" style="89" customWidth="1"/>
    <col min="7" max="7" width="11.8984375" style="89" customWidth="1"/>
    <col min="8" max="8" width="8.19921875" style="89" bestFit="1" customWidth="1"/>
    <col min="9" max="9" width="15" style="90" customWidth="1"/>
    <col min="10" max="10" width="7.8984375" style="89" customWidth="1"/>
    <col min="11" max="11" width="7.59765625" style="88" customWidth="1"/>
    <col min="12" max="255" width="7" style="88"/>
    <col min="256" max="256" width="6.8984375" style="88" customWidth="1"/>
    <col min="257" max="257" width="9" style="88" customWidth="1"/>
    <col min="258" max="258" width="16" style="88" customWidth="1"/>
    <col min="259" max="259" width="14.19921875" style="88" customWidth="1"/>
    <col min="260" max="260" width="4.59765625" style="88" customWidth="1"/>
    <col min="261" max="261" width="9.59765625" style="88" customWidth="1"/>
    <col min="262" max="262" width="8.19921875" style="88" bestFit="1" customWidth="1"/>
    <col min="263" max="264" width="7" style="88" customWidth="1"/>
    <col min="265" max="265" width="5.69921875" style="88" customWidth="1"/>
    <col min="266" max="266" width="7.8984375" style="88" customWidth="1"/>
    <col min="267" max="267" width="7.59765625" style="88" customWidth="1"/>
    <col min="268" max="511" width="7" style="88"/>
    <col min="512" max="512" width="6.8984375" style="88" customWidth="1"/>
    <col min="513" max="513" width="9" style="88" customWidth="1"/>
    <col min="514" max="514" width="16" style="88" customWidth="1"/>
    <col min="515" max="515" width="14.19921875" style="88" customWidth="1"/>
    <col min="516" max="516" width="4.59765625" style="88" customWidth="1"/>
    <col min="517" max="517" width="9.59765625" style="88" customWidth="1"/>
    <col min="518" max="518" width="8.19921875" style="88" bestFit="1" customWidth="1"/>
    <col min="519" max="520" width="7" style="88" customWidth="1"/>
    <col min="521" max="521" width="5.69921875" style="88" customWidth="1"/>
    <col min="522" max="522" width="7.8984375" style="88" customWidth="1"/>
    <col min="523" max="523" width="7.59765625" style="88" customWidth="1"/>
    <col min="524" max="767" width="7" style="88"/>
    <col min="768" max="768" width="6.8984375" style="88" customWidth="1"/>
    <col min="769" max="769" width="9" style="88" customWidth="1"/>
    <col min="770" max="770" width="16" style="88" customWidth="1"/>
    <col min="771" max="771" width="14.19921875" style="88" customWidth="1"/>
    <col min="772" max="772" width="4.59765625" style="88" customWidth="1"/>
    <col min="773" max="773" width="9.59765625" style="88" customWidth="1"/>
    <col min="774" max="774" width="8.19921875" style="88" bestFit="1" customWidth="1"/>
    <col min="775" max="776" width="7" style="88" customWidth="1"/>
    <col min="777" max="777" width="5.69921875" style="88" customWidth="1"/>
    <col min="778" max="778" width="7.8984375" style="88" customWidth="1"/>
    <col min="779" max="779" width="7.59765625" style="88" customWidth="1"/>
    <col min="780" max="1023" width="7" style="88"/>
    <col min="1024" max="1024" width="6.8984375" style="88" customWidth="1"/>
    <col min="1025" max="1025" width="9" style="88" customWidth="1"/>
    <col min="1026" max="1026" width="16" style="88" customWidth="1"/>
    <col min="1027" max="1027" width="14.19921875" style="88" customWidth="1"/>
    <col min="1028" max="1028" width="4.59765625" style="88" customWidth="1"/>
    <col min="1029" max="1029" width="9.59765625" style="88" customWidth="1"/>
    <col min="1030" max="1030" width="8.19921875" style="88" bestFit="1" customWidth="1"/>
    <col min="1031" max="1032" width="7" style="88" customWidth="1"/>
    <col min="1033" max="1033" width="5.69921875" style="88" customWidth="1"/>
    <col min="1034" max="1034" width="7.8984375" style="88" customWidth="1"/>
    <col min="1035" max="1035" width="7.59765625" style="88" customWidth="1"/>
    <col min="1036" max="1279" width="7" style="88"/>
    <col min="1280" max="1280" width="6.8984375" style="88" customWidth="1"/>
    <col min="1281" max="1281" width="9" style="88" customWidth="1"/>
    <col min="1282" max="1282" width="16" style="88" customWidth="1"/>
    <col min="1283" max="1283" width="14.19921875" style="88" customWidth="1"/>
    <col min="1284" max="1284" width="4.59765625" style="88" customWidth="1"/>
    <col min="1285" max="1285" width="9.59765625" style="88" customWidth="1"/>
    <col min="1286" max="1286" width="8.19921875" style="88" bestFit="1" customWidth="1"/>
    <col min="1287" max="1288" width="7" style="88" customWidth="1"/>
    <col min="1289" max="1289" width="5.69921875" style="88" customWidth="1"/>
    <col min="1290" max="1290" width="7.8984375" style="88" customWidth="1"/>
    <col min="1291" max="1291" width="7.59765625" style="88" customWidth="1"/>
    <col min="1292" max="1535" width="7" style="88"/>
    <col min="1536" max="1536" width="6.8984375" style="88" customWidth="1"/>
    <col min="1537" max="1537" width="9" style="88" customWidth="1"/>
    <col min="1538" max="1538" width="16" style="88" customWidth="1"/>
    <col min="1539" max="1539" width="14.19921875" style="88" customWidth="1"/>
    <col min="1540" max="1540" width="4.59765625" style="88" customWidth="1"/>
    <col min="1541" max="1541" width="9.59765625" style="88" customWidth="1"/>
    <col min="1542" max="1542" width="8.19921875" style="88" bestFit="1" customWidth="1"/>
    <col min="1543" max="1544" width="7" style="88" customWidth="1"/>
    <col min="1545" max="1545" width="5.69921875" style="88" customWidth="1"/>
    <col min="1546" max="1546" width="7.8984375" style="88" customWidth="1"/>
    <col min="1547" max="1547" width="7.59765625" style="88" customWidth="1"/>
    <col min="1548" max="1791" width="7" style="88"/>
    <col min="1792" max="1792" width="6.8984375" style="88" customWidth="1"/>
    <col min="1793" max="1793" width="9" style="88" customWidth="1"/>
    <col min="1794" max="1794" width="16" style="88" customWidth="1"/>
    <col min="1795" max="1795" width="14.19921875" style="88" customWidth="1"/>
    <col min="1796" max="1796" width="4.59765625" style="88" customWidth="1"/>
    <col min="1797" max="1797" width="9.59765625" style="88" customWidth="1"/>
    <col min="1798" max="1798" width="8.19921875" style="88" bestFit="1" customWidth="1"/>
    <col min="1799" max="1800" width="7" style="88" customWidth="1"/>
    <col min="1801" max="1801" width="5.69921875" style="88" customWidth="1"/>
    <col min="1802" max="1802" width="7.8984375" style="88" customWidth="1"/>
    <col min="1803" max="1803" width="7.59765625" style="88" customWidth="1"/>
    <col min="1804" max="2047" width="7" style="88"/>
    <col min="2048" max="2048" width="6.8984375" style="88" customWidth="1"/>
    <col min="2049" max="2049" width="9" style="88" customWidth="1"/>
    <col min="2050" max="2050" width="16" style="88" customWidth="1"/>
    <col min="2051" max="2051" width="14.19921875" style="88" customWidth="1"/>
    <col min="2052" max="2052" width="4.59765625" style="88" customWidth="1"/>
    <col min="2053" max="2053" width="9.59765625" style="88" customWidth="1"/>
    <col min="2054" max="2054" width="8.19921875" style="88" bestFit="1" customWidth="1"/>
    <col min="2055" max="2056" width="7" style="88" customWidth="1"/>
    <col min="2057" max="2057" width="5.69921875" style="88" customWidth="1"/>
    <col min="2058" max="2058" width="7.8984375" style="88" customWidth="1"/>
    <col min="2059" max="2059" width="7.59765625" style="88" customWidth="1"/>
    <col min="2060" max="2303" width="7" style="88"/>
    <col min="2304" max="2304" width="6.8984375" style="88" customWidth="1"/>
    <col min="2305" max="2305" width="9" style="88" customWidth="1"/>
    <col min="2306" max="2306" width="16" style="88" customWidth="1"/>
    <col min="2307" max="2307" width="14.19921875" style="88" customWidth="1"/>
    <col min="2308" max="2308" width="4.59765625" style="88" customWidth="1"/>
    <col min="2309" max="2309" width="9.59765625" style="88" customWidth="1"/>
    <col min="2310" max="2310" width="8.19921875" style="88" bestFit="1" customWidth="1"/>
    <col min="2311" max="2312" width="7" style="88" customWidth="1"/>
    <col min="2313" max="2313" width="5.69921875" style="88" customWidth="1"/>
    <col min="2314" max="2314" width="7.8984375" style="88" customWidth="1"/>
    <col min="2315" max="2315" width="7.59765625" style="88" customWidth="1"/>
    <col min="2316" max="2559" width="7" style="88"/>
    <col min="2560" max="2560" width="6.8984375" style="88" customWidth="1"/>
    <col min="2561" max="2561" width="9" style="88" customWidth="1"/>
    <col min="2562" max="2562" width="16" style="88" customWidth="1"/>
    <col min="2563" max="2563" width="14.19921875" style="88" customWidth="1"/>
    <col min="2564" max="2564" width="4.59765625" style="88" customWidth="1"/>
    <col min="2565" max="2565" width="9.59765625" style="88" customWidth="1"/>
    <col min="2566" max="2566" width="8.19921875" style="88" bestFit="1" customWidth="1"/>
    <col min="2567" max="2568" width="7" style="88" customWidth="1"/>
    <col min="2569" max="2569" width="5.69921875" style="88" customWidth="1"/>
    <col min="2570" max="2570" width="7.8984375" style="88" customWidth="1"/>
    <col min="2571" max="2571" width="7.59765625" style="88" customWidth="1"/>
    <col min="2572" max="2815" width="7" style="88"/>
    <col min="2816" max="2816" width="6.8984375" style="88" customWidth="1"/>
    <col min="2817" max="2817" width="9" style="88" customWidth="1"/>
    <col min="2818" max="2818" width="16" style="88" customWidth="1"/>
    <col min="2819" max="2819" width="14.19921875" style="88" customWidth="1"/>
    <col min="2820" max="2820" width="4.59765625" style="88" customWidth="1"/>
    <col min="2821" max="2821" width="9.59765625" style="88" customWidth="1"/>
    <col min="2822" max="2822" width="8.19921875" style="88" bestFit="1" customWidth="1"/>
    <col min="2823" max="2824" width="7" style="88" customWidth="1"/>
    <col min="2825" max="2825" width="5.69921875" style="88" customWidth="1"/>
    <col min="2826" max="2826" width="7.8984375" style="88" customWidth="1"/>
    <col min="2827" max="2827" width="7.59765625" style="88" customWidth="1"/>
    <col min="2828" max="3071" width="7" style="88"/>
    <col min="3072" max="3072" width="6.8984375" style="88" customWidth="1"/>
    <col min="3073" max="3073" width="9" style="88" customWidth="1"/>
    <col min="3074" max="3074" width="16" style="88" customWidth="1"/>
    <col min="3075" max="3075" width="14.19921875" style="88" customWidth="1"/>
    <col min="3076" max="3076" width="4.59765625" style="88" customWidth="1"/>
    <col min="3077" max="3077" width="9.59765625" style="88" customWidth="1"/>
    <col min="3078" max="3078" width="8.19921875" style="88" bestFit="1" customWidth="1"/>
    <col min="3079" max="3080" width="7" style="88" customWidth="1"/>
    <col min="3081" max="3081" width="5.69921875" style="88" customWidth="1"/>
    <col min="3082" max="3082" width="7.8984375" style="88" customWidth="1"/>
    <col min="3083" max="3083" width="7.59765625" style="88" customWidth="1"/>
    <col min="3084" max="3327" width="7" style="88"/>
    <col min="3328" max="3328" width="6.8984375" style="88" customWidth="1"/>
    <col min="3329" max="3329" width="9" style="88" customWidth="1"/>
    <col min="3330" max="3330" width="16" style="88" customWidth="1"/>
    <col min="3331" max="3331" width="14.19921875" style="88" customWidth="1"/>
    <col min="3332" max="3332" width="4.59765625" style="88" customWidth="1"/>
    <col min="3333" max="3333" width="9.59765625" style="88" customWidth="1"/>
    <col min="3334" max="3334" width="8.19921875" style="88" bestFit="1" customWidth="1"/>
    <col min="3335" max="3336" width="7" style="88" customWidth="1"/>
    <col min="3337" max="3337" width="5.69921875" style="88" customWidth="1"/>
    <col min="3338" max="3338" width="7.8984375" style="88" customWidth="1"/>
    <col min="3339" max="3339" width="7.59765625" style="88" customWidth="1"/>
    <col min="3340" max="3583" width="7" style="88"/>
    <col min="3584" max="3584" width="6.8984375" style="88" customWidth="1"/>
    <col min="3585" max="3585" width="9" style="88" customWidth="1"/>
    <col min="3586" max="3586" width="16" style="88" customWidth="1"/>
    <col min="3587" max="3587" width="14.19921875" style="88" customWidth="1"/>
    <col min="3588" max="3588" width="4.59765625" style="88" customWidth="1"/>
    <col min="3589" max="3589" width="9.59765625" style="88" customWidth="1"/>
    <col min="3590" max="3590" width="8.19921875" style="88" bestFit="1" customWidth="1"/>
    <col min="3591" max="3592" width="7" style="88" customWidth="1"/>
    <col min="3593" max="3593" width="5.69921875" style="88" customWidth="1"/>
    <col min="3594" max="3594" width="7.8984375" style="88" customWidth="1"/>
    <col min="3595" max="3595" width="7.59765625" style="88" customWidth="1"/>
    <col min="3596" max="3839" width="7" style="88"/>
    <col min="3840" max="3840" width="6.8984375" style="88" customWidth="1"/>
    <col min="3841" max="3841" width="9" style="88" customWidth="1"/>
    <col min="3842" max="3842" width="16" style="88" customWidth="1"/>
    <col min="3843" max="3843" width="14.19921875" style="88" customWidth="1"/>
    <col min="3844" max="3844" width="4.59765625" style="88" customWidth="1"/>
    <col min="3845" max="3845" width="9.59765625" style="88" customWidth="1"/>
    <col min="3846" max="3846" width="8.19921875" style="88" bestFit="1" customWidth="1"/>
    <col min="3847" max="3848" width="7" style="88" customWidth="1"/>
    <col min="3849" max="3849" width="5.69921875" style="88" customWidth="1"/>
    <col min="3850" max="3850" width="7.8984375" style="88" customWidth="1"/>
    <col min="3851" max="3851" width="7.59765625" style="88" customWidth="1"/>
    <col min="3852" max="4095" width="7" style="88"/>
    <col min="4096" max="4096" width="6.8984375" style="88" customWidth="1"/>
    <col min="4097" max="4097" width="9" style="88" customWidth="1"/>
    <col min="4098" max="4098" width="16" style="88" customWidth="1"/>
    <col min="4099" max="4099" width="14.19921875" style="88" customWidth="1"/>
    <col min="4100" max="4100" width="4.59765625" style="88" customWidth="1"/>
    <col min="4101" max="4101" width="9.59765625" style="88" customWidth="1"/>
    <col min="4102" max="4102" width="8.19921875" style="88" bestFit="1" customWidth="1"/>
    <col min="4103" max="4104" width="7" style="88" customWidth="1"/>
    <col min="4105" max="4105" width="5.69921875" style="88" customWidth="1"/>
    <col min="4106" max="4106" width="7.8984375" style="88" customWidth="1"/>
    <col min="4107" max="4107" width="7.59765625" style="88" customWidth="1"/>
    <col min="4108" max="4351" width="7" style="88"/>
    <col min="4352" max="4352" width="6.8984375" style="88" customWidth="1"/>
    <col min="4353" max="4353" width="9" style="88" customWidth="1"/>
    <col min="4354" max="4354" width="16" style="88" customWidth="1"/>
    <col min="4355" max="4355" width="14.19921875" style="88" customWidth="1"/>
    <col min="4356" max="4356" width="4.59765625" style="88" customWidth="1"/>
    <col min="4357" max="4357" width="9.59765625" style="88" customWidth="1"/>
    <col min="4358" max="4358" width="8.19921875" style="88" bestFit="1" customWidth="1"/>
    <col min="4359" max="4360" width="7" style="88" customWidth="1"/>
    <col min="4361" max="4361" width="5.69921875" style="88" customWidth="1"/>
    <col min="4362" max="4362" width="7.8984375" style="88" customWidth="1"/>
    <col min="4363" max="4363" width="7.59765625" style="88" customWidth="1"/>
    <col min="4364" max="4607" width="7" style="88"/>
    <col min="4608" max="4608" width="6.8984375" style="88" customWidth="1"/>
    <col min="4609" max="4609" width="9" style="88" customWidth="1"/>
    <col min="4610" max="4610" width="16" style="88" customWidth="1"/>
    <col min="4611" max="4611" width="14.19921875" style="88" customWidth="1"/>
    <col min="4612" max="4612" width="4.59765625" style="88" customWidth="1"/>
    <col min="4613" max="4613" width="9.59765625" style="88" customWidth="1"/>
    <col min="4614" max="4614" width="8.19921875" style="88" bestFit="1" customWidth="1"/>
    <col min="4615" max="4616" width="7" style="88" customWidth="1"/>
    <col min="4617" max="4617" width="5.69921875" style="88" customWidth="1"/>
    <col min="4618" max="4618" width="7.8984375" style="88" customWidth="1"/>
    <col min="4619" max="4619" width="7.59765625" style="88" customWidth="1"/>
    <col min="4620" max="4863" width="7" style="88"/>
    <col min="4864" max="4864" width="6.8984375" style="88" customWidth="1"/>
    <col min="4865" max="4865" width="9" style="88" customWidth="1"/>
    <col min="4866" max="4866" width="16" style="88" customWidth="1"/>
    <col min="4867" max="4867" width="14.19921875" style="88" customWidth="1"/>
    <col min="4868" max="4868" width="4.59765625" style="88" customWidth="1"/>
    <col min="4869" max="4869" width="9.59765625" style="88" customWidth="1"/>
    <col min="4870" max="4870" width="8.19921875" style="88" bestFit="1" customWidth="1"/>
    <col min="4871" max="4872" width="7" style="88" customWidth="1"/>
    <col min="4873" max="4873" width="5.69921875" style="88" customWidth="1"/>
    <col min="4874" max="4874" width="7.8984375" style="88" customWidth="1"/>
    <col min="4875" max="4875" width="7.59765625" style="88" customWidth="1"/>
    <col min="4876" max="5119" width="7" style="88"/>
    <col min="5120" max="5120" width="6.8984375" style="88" customWidth="1"/>
    <col min="5121" max="5121" width="9" style="88" customWidth="1"/>
    <col min="5122" max="5122" width="16" style="88" customWidth="1"/>
    <col min="5123" max="5123" width="14.19921875" style="88" customWidth="1"/>
    <col min="5124" max="5124" width="4.59765625" style="88" customWidth="1"/>
    <col min="5125" max="5125" width="9.59765625" style="88" customWidth="1"/>
    <col min="5126" max="5126" width="8.19921875" style="88" bestFit="1" customWidth="1"/>
    <col min="5127" max="5128" width="7" style="88" customWidth="1"/>
    <col min="5129" max="5129" width="5.69921875" style="88" customWidth="1"/>
    <col min="5130" max="5130" width="7.8984375" style="88" customWidth="1"/>
    <col min="5131" max="5131" width="7.59765625" style="88" customWidth="1"/>
    <col min="5132" max="5375" width="7" style="88"/>
    <col min="5376" max="5376" width="6.8984375" style="88" customWidth="1"/>
    <col min="5377" max="5377" width="9" style="88" customWidth="1"/>
    <col min="5378" max="5378" width="16" style="88" customWidth="1"/>
    <col min="5379" max="5379" width="14.19921875" style="88" customWidth="1"/>
    <col min="5380" max="5380" width="4.59765625" style="88" customWidth="1"/>
    <col min="5381" max="5381" width="9.59765625" style="88" customWidth="1"/>
    <col min="5382" max="5382" width="8.19921875" style="88" bestFit="1" customWidth="1"/>
    <col min="5383" max="5384" width="7" style="88" customWidth="1"/>
    <col min="5385" max="5385" width="5.69921875" style="88" customWidth="1"/>
    <col min="5386" max="5386" width="7.8984375" style="88" customWidth="1"/>
    <col min="5387" max="5387" width="7.59765625" style="88" customWidth="1"/>
    <col min="5388" max="5631" width="7" style="88"/>
    <col min="5632" max="5632" width="6.8984375" style="88" customWidth="1"/>
    <col min="5633" max="5633" width="9" style="88" customWidth="1"/>
    <col min="5634" max="5634" width="16" style="88" customWidth="1"/>
    <col min="5635" max="5635" width="14.19921875" style="88" customWidth="1"/>
    <col min="5636" max="5636" width="4.59765625" style="88" customWidth="1"/>
    <col min="5637" max="5637" width="9.59765625" style="88" customWidth="1"/>
    <col min="5638" max="5638" width="8.19921875" style="88" bestFit="1" customWidth="1"/>
    <col min="5639" max="5640" width="7" style="88" customWidth="1"/>
    <col min="5641" max="5641" width="5.69921875" style="88" customWidth="1"/>
    <col min="5642" max="5642" width="7.8984375" style="88" customWidth="1"/>
    <col min="5643" max="5643" width="7.59765625" style="88" customWidth="1"/>
    <col min="5644" max="5887" width="7" style="88"/>
    <col min="5888" max="5888" width="6.8984375" style="88" customWidth="1"/>
    <col min="5889" max="5889" width="9" style="88" customWidth="1"/>
    <col min="5890" max="5890" width="16" style="88" customWidth="1"/>
    <col min="5891" max="5891" width="14.19921875" style="88" customWidth="1"/>
    <col min="5892" max="5892" width="4.59765625" style="88" customWidth="1"/>
    <col min="5893" max="5893" width="9.59765625" style="88" customWidth="1"/>
    <col min="5894" max="5894" width="8.19921875" style="88" bestFit="1" customWidth="1"/>
    <col min="5895" max="5896" width="7" style="88" customWidth="1"/>
    <col min="5897" max="5897" width="5.69921875" style="88" customWidth="1"/>
    <col min="5898" max="5898" width="7.8984375" style="88" customWidth="1"/>
    <col min="5899" max="5899" width="7.59765625" style="88" customWidth="1"/>
    <col min="5900" max="6143" width="7" style="88"/>
    <col min="6144" max="6144" width="6.8984375" style="88" customWidth="1"/>
    <col min="6145" max="6145" width="9" style="88" customWidth="1"/>
    <col min="6146" max="6146" width="16" style="88" customWidth="1"/>
    <col min="6147" max="6147" width="14.19921875" style="88" customWidth="1"/>
    <col min="6148" max="6148" width="4.59765625" style="88" customWidth="1"/>
    <col min="6149" max="6149" width="9.59765625" style="88" customWidth="1"/>
    <col min="6150" max="6150" width="8.19921875" style="88" bestFit="1" customWidth="1"/>
    <col min="6151" max="6152" width="7" style="88" customWidth="1"/>
    <col min="6153" max="6153" width="5.69921875" style="88" customWidth="1"/>
    <col min="6154" max="6154" width="7.8984375" style="88" customWidth="1"/>
    <col min="6155" max="6155" width="7.59765625" style="88" customWidth="1"/>
    <col min="6156" max="6399" width="7" style="88"/>
    <col min="6400" max="6400" width="6.8984375" style="88" customWidth="1"/>
    <col min="6401" max="6401" width="9" style="88" customWidth="1"/>
    <col min="6402" max="6402" width="16" style="88" customWidth="1"/>
    <col min="6403" max="6403" width="14.19921875" style="88" customWidth="1"/>
    <col min="6404" max="6404" width="4.59765625" style="88" customWidth="1"/>
    <col min="6405" max="6405" width="9.59765625" style="88" customWidth="1"/>
    <col min="6406" max="6406" width="8.19921875" style="88" bestFit="1" customWidth="1"/>
    <col min="6407" max="6408" width="7" style="88" customWidth="1"/>
    <col min="6409" max="6409" width="5.69921875" style="88" customWidth="1"/>
    <col min="6410" max="6410" width="7.8984375" style="88" customWidth="1"/>
    <col min="6411" max="6411" width="7.59765625" style="88" customWidth="1"/>
    <col min="6412" max="6655" width="7" style="88"/>
    <col min="6656" max="6656" width="6.8984375" style="88" customWidth="1"/>
    <col min="6657" max="6657" width="9" style="88" customWidth="1"/>
    <col min="6658" max="6658" width="16" style="88" customWidth="1"/>
    <col min="6659" max="6659" width="14.19921875" style="88" customWidth="1"/>
    <col min="6660" max="6660" width="4.59765625" style="88" customWidth="1"/>
    <col min="6661" max="6661" width="9.59765625" style="88" customWidth="1"/>
    <col min="6662" max="6662" width="8.19921875" style="88" bestFit="1" customWidth="1"/>
    <col min="6663" max="6664" width="7" style="88" customWidth="1"/>
    <col min="6665" max="6665" width="5.69921875" style="88" customWidth="1"/>
    <col min="6666" max="6666" width="7.8984375" style="88" customWidth="1"/>
    <col min="6667" max="6667" width="7.59765625" style="88" customWidth="1"/>
    <col min="6668" max="6911" width="7" style="88"/>
    <col min="6912" max="6912" width="6.8984375" style="88" customWidth="1"/>
    <col min="6913" max="6913" width="9" style="88" customWidth="1"/>
    <col min="6914" max="6914" width="16" style="88" customWidth="1"/>
    <col min="6915" max="6915" width="14.19921875" style="88" customWidth="1"/>
    <col min="6916" max="6916" width="4.59765625" style="88" customWidth="1"/>
    <col min="6917" max="6917" width="9.59765625" style="88" customWidth="1"/>
    <col min="6918" max="6918" width="8.19921875" style="88" bestFit="1" customWidth="1"/>
    <col min="6919" max="6920" width="7" style="88" customWidth="1"/>
    <col min="6921" max="6921" width="5.69921875" style="88" customWidth="1"/>
    <col min="6922" max="6922" width="7.8984375" style="88" customWidth="1"/>
    <col min="6923" max="6923" width="7.59765625" style="88" customWidth="1"/>
    <col min="6924" max="7167" width="7" style="88"/>
    <col min="7168" max="7168" width="6.8984375" style="88" customWidth="1"/>
    <col min="7169" max="7169" width="9" style="88" customWidth="1"/>
    <col min="7170" max="7170" width="16" style="88" customWidth="1"/>
    <col min="7171" max="7171" width="14.19921875" style="88" customWidth="1"/>
    <col min="7172" max="7172" width="4.59765625" style="88" customWidth="1"/>
    <col min="7173" max="7173" width="9.59765625" style="88" customWidth="1"/>
    <col min="7174" max="7174" width="8.19921875" style="88" bestFit="1" customWidth="1"/>
    <col min="7175" max="7176" width="7" style="88" customWidth="1"/>
    <col min="7177" max="7177" width="5.69921875" style="88" customWidth="1"/>
    <col min="7178" max="7178" width="7.8984375" style="88" customWidth="1"/>
    <col min="7179" max="7179" width="7.59765625" style="88" customWidth="1"/>
    <col min="7180" max="7423" width="7" style="88"/>
    <col min="7424" max="7424" width="6.8984375" style="88" customWidth="1"/>
    <col min="7425" max="7425" width="9" style="88" customWidth="1"/>
    <col min="7426" max="7426" width="16" style="88" customWidth="1"/>
    <col min="7427" max="7427" width="14.19921875" style="88" customWidth="1"/>
    <col min="7428" max="7428" width="4.59765625" style="88" customWidth="1"/>
    <col min="7429" max="7429" width="9.59765625" style="88" customWidth="1"/>
    <col min="7430" max="7430" width="8.19921875" style="88" bestFit="1" customWidth="1"/>
    <col min="7431" max="7432" width="7" style="88" customWidth="1"/>
    <col min="7433" max="7433" width="5.69921875" style="88" customWidth="1"/>
    <col min="7434" max="7434" width="7.8984375" style="88" customWidth="1"/>
    <col min="7435" max="7435" width="7.59765625" style="88" customWidth="1"/>
    <col min="7436" max="7679" width="7" style="88"/>
    <col min="7680" max="7680" width="6.8984375" style="88" customWidth="1"/>
    <col min="7681" max="7681" width="9" style="88" customWidth="1"/>
    <col min="7682" max="7682" width="16" style="88" customWidth="1"/>
    <col min="7683" max="7683" width="14.19921875" style="88" customWidth="1"/>
    <col min="7684" max="7684" width="4.59765625" style="88" customWidth="1"/>
    <col min="7685" max="7685" width="9.59765625" style="88" customWidth="1"/>
    <col min="7686" max="7686" width="8.19921875" style="88" bestFit="1" customWidth="1"/>
    <col min="7687" max="7688" width="7" style="88" customWidth="1"/>
    <col min="7689" max="7689" width="5.69921875" style="88" customWidth="1"/>
    <col min="7690" max="7690" width="7.8984375" style="88" customWidth="1"/>
    <col min="7691" max="7691" width="7.59765625" style="88" customWidth="1"/>
    <col min="7692" max="7935" width="7" style="88"/>
    <col min="7936" max="7936" width="6.8984375" style="88" customWidth="1"/>
    <col min="7937" max="7937" width="9" style="88" customWidth="1"/>
    <col min="7938" max="7938" width="16" style="88" customWidth="1"/>
    <col min="7939" max="7939" width="14.19921875" style="88" customWidth="1"/>
    <col min="7940" max="7940" width="4.59765625" style="88" customWidth="1"/>
    <col min="7941" max="7941" width="9.59765625" style="88" customWidth="1"/>
    <col min="7942" max="7942" width="8.19921875" style="88" bestFit="1" customWidth="1"/>
    <col min="7943" max="7944" width="7" style="88" customWidth="1"/>
    <col min="7945" max="7945" width="5.69921875" style="88" customWidth="1"/>
    <col min="7946" max="7946" width="7.8984375" style="88" customWidth="1"/>
    <col min="7947" max="7947" width="7.59765625" style="88" customWidth="1"/>
    <col min="7948" max="8191" width="7" style="88"/>
    <col min="8192" max="8192" width="6.8984375" style="88" customWidth="1"/>
    <col min="8193" max="8193" width="9" style="88" customWidth="1"/>
    <col min="8194" max="8194" width="16" style="88" customWidth="1"/>
    <col min="8195" max="8195" width="14.19921875" style="88" customWidth="1"/>
    <col min="8196" max="8196" width="4.59765625" style="88" customWidth="1"/>
    <col min="8197" max="8197" width="9.59765625" style="88" customWidth="1"/>
    <col min="8198" max="8198" width="8.19921875" style="88" bestFit="1" customWidth="1"/>
    <col min="8199" max="8200" width="7" style="88" customWidth="1"/>
    <col min="8201" max="8201" width="5.69921875" style="88" customWidth="1"/>
    <col min="8202" max="8202" width="7.8984375" style="88" customWidth="1"/>
    <col min="8203" max="8203" width="7.59765625" style="88" customWidth="1"/>
    <col min="8204" max="8447" width="7" style="88"/>
    <col min="8448" max="8448" width="6.8984375" style="88" customWidth="1"/>
    <col min="8449" max="8449" width="9" style="88" customWidth="1"/>
    <col min="8450" max="8450" width="16" style="88" customWidth="1"/>
    <col min="8451" max="8451" width="14.19921875" style="88" customWidth="1"/>
    <col min="8452" max="8452" width="4.59765625" style="88" customWidth="1"/>
    <col min="8453" max="8453" width="9.59765625" style="88" customWidth="1"/>
    <col min="8454" max="8454" width="8.19921875" style="88" bestFit="1" customWidth="1"/>
    <col min="8455" max="8456" width="7" style="88" customWidth="1"/>
    <col min="8457" max="8457" width="5.69921875" style="88" customWidth="1"/>
    <col min="8458" max="8458" width="7.8984375" style="88" customWidth="1"/>
    <col min="8459" max="8459" width="7.59765625" style="88" customWidth="1"/>
    <col min="8460" max="8703" width="7" style="88"/>
    <col min="8704" max="8704" width="6.8984375" style="88" customWidth="1"/>
    <col min="8705" max="8705" width="9" style="88" customWidth="1"/>
    <col min="8706" max="8706" width="16" style="88" customWidth="1"/>
    <col min="8707" max="8707" width="14.19921875" style="88" customWidth="1"/>
    <col min="8708" max="8708" width="4.59765625" style="88" customWidth="1"/>
    <col min="8709" max="8709" width="9.59765625" style="88" customWidth="1"/>
    <col min="8710" max="8710" width="8.19921875" style="88" bestFit="1" customWidth="1"/>
    <col min="8711" max="8712" width="7" style="88" customWidth="1"/>
    <col min="8713" max="8713" width="5.69921875" style="88" customWidth="1"/>
    <col min="8714" max="8714" width="7.8984375" style="88" customWidth="1"/>
    <col min="8715" max="8715" width="7.59765625" style="88" customWidth="1"/>
    <col min="8716" max="8959" width="7" style="88"/>
    <col min="8960" max="8960" width="6.8984375" style="88" customWidth="1"/>
    <col min="8961" max="8961" width="9" style="88" customWidth="1"/>
    <col min="8962" max="8962" width="16" style="88" customWidth="1"/>
    <col min="8963" max="8963" width="14.19921875" style="88" customWidth="1"/>
    <col min="8964" max="8964" width="4.59765625" style="88" customWidth="1"/>
    <col min="8965" max="8965" width="9.59765625" style="88" customWidth="1"/>
    <col min="8966" max="8966" width="8.19921875" style="88" bestFit="1" customWidth="1"/>
    <col min="8967" max="8968" width="7" style="88" customWidth="1"/>
    <col min="8969" max="8969" width="5.69921875" style="88" customWidth="1"/>
    <col min="8970" max="8970" width="7.8984375" style="88" customWidth="1"/>
    <col min="8971" max="8971" width="7.59765625" style="88" customWidth="1"/>
    <col min="8972" max="9215" width="7" style="88"/>
    <col min="9216" max="9216" width="6.8984375" style="88" customWidth="1"/>
    <col min="9217" max="9217" width="9" style="88" customWidth="1"/>
    <col min="9218" max="9218" width="16" style="88" customWidth="1"/>
    <col min="9219" max="9219" width="14.19921875" style="88" customWidth="1"/>
    <col min="9220" max="9220" width="4.59765625" style="88" customWidth="1"/>
    <col min="9221" max="9221" width="9.59765625" style="88" customWidth="1"/>
    <col min="9222" max="9222" width="8.19921875" style="88" bestFit="1" customWidth="1"/>
    <col min="9223" max="9224" width="7" style="88" customWidth="1"/>
    <col min="9225" max="9225" width="5.69921875" style="88" customWidth="1"/>
    <col min="9226" max="9226" width="7.8984375" style="88" customWidth="1"/>
    <col min="9227" max="9227" width="7.59765625" style="88" customWidth="1"/>
    <col min="9228" max="9471" width="7" style="88"/>
    <col min="9472" max="9472" width="6.8984375" style="88" customWidth="1"/>
    <col min="9473" max="9473" width="9" style="88" customWidth="1"/>
    <col min="9474" max="9474" width="16" style="88" customWidth="1"/>
    <col min="9475" max="9475" width="14.19921875" style="88" customWidth="1"/>
    <col min="9476" max="9476" width="4.59765625" style="88" customWidth="1"/>
    <col min="9477" max="9477" width="9.59765625" style="88" customWidth="1"/>
    <col min="9478" max="9478" width="8.19921875" style="88" bestFit="1" customWidth="1"/>
    <col min="9479" max="9480" width="7" style="88" customWidth="1"/>
    <col min="9481" max="9481" width="5.69921875" style="88" customWidth="1"/>
    <col min="9482" max="9482" width="7.8984375" style="88" customWidth="1"/>
    <col min="9483" max="9483" width="7.59765625" style="88" customWidth="1"/>
    <col min="9484" max="9727" width="7" style="88"/>
    <col min="9728" max="9728" width="6.8984375" style="88" customWidth="1"/>
    <col min="9729" max="9729" width="9" style="88" customWidth="1"/>
    <col min="9730" max="9730" width="16" style="88" customWidth="1"/>
    <col min="9731" max="9731" width="14.19921875" style="88" customWidth="1"/>
    <col min="9732" max="9732" width="4.59765625" style="88" customWidth="1"/>
    <col min="9733" max="9733" width="9.59765625" style="88" customWidth="1"/>
    <col min="9734" max="9734" width="8.19921875" style="88" bestFit="1" customWidth="1"/>
    <col min="9735" max="9736" width="7" style="88" customWidth="1"/>
    <col min="9737" max="9737" width="5.69921875" style="88" customWidth="1"/>
    <col min="9738" max="9738" width="7.8984375" style="88" customWidth="1"/>
    <col min="9739" max="9739" width="7.59765625" style="88" customWidth="1"/>
    <col min="9740" max="9983" width="7" style="88"/>
    <col min="9984" max="9984" width="6.8984375" style="88" customWidth="1"/>
    <col min="9985" max="9985" width="9" style="88" customWidth="1"/>
    <col min="9986" max="9986" width="16" style="88" customWidth="1"/>
    <col min="9987" max="9987" width="14.19921875" style="88" customWidth="1"/>
    <col min="9988" max="9988" width="4.59765625" style="88" customWidth="1"/>
    <col min="9989" max="9989" width="9.59765625" style="88" customWidth="1"/>
    <col min="9990" max="9990" width="8.19921875" style="88" bestFit="1" customWidth="1"/>
    <col min="9991" max="9992" width="7" style="88" customWidth="1"/>
    <col min="9993" max="9993" width="5.69921875" style="88" customWidth="1"/>
    <col min="9994" max="9994" width="7.8984375" style="88" customWidth="1"/>
    <col min="9995" max="9995" width="7.59765625" style="88" customWidth="1"/>
    <col min="9996" max="10239" width="7" style="88"/>
    <col min="10240" max="10240" width="6.8984375" style="88" customWidth="1"/>
    <col min="10241" max="10241" width="9" style="88" customWidth="1"/>
    <col min="10242" max="10242" width="16" style="88" customWidth="1"/>
    <col min="10243" max="10243" width="14.19921875" style="88" customWidth="1"/>
    <col min="10244" max="10244" width="4.59765625" style="88" customWidth="1"/>
    <col min="10245" max="10245" width="9.59765625" style="88" customWidth="1"/>
    <col min="10246" max="10246" width="8.19921875" style="88" bestFit="1" customWidth="1"/>
    <col min="10247" max="10248" width="7" style="88" customWidth="1"/>
    <col min="10249" max="10249" width="5.69921875" style="88" customWidth="1"/>
    <col min="10250" max="10250" width="7.8984375" style="88" customWidth="1"/>
    <col min="10251" max="10251" width="7.59765625" style="88" customWidth="1"/>
    <col min="10252" max="10495" width="7" style="88"/>
    <col min="10496" max="10496" width="6.8984375" style="88" customWidth="1"/>
    <col min="10497" max="10497" width="9" style="88" customWidth="1"/>
    <col min="10498" max="10498" width="16" style="88" customWidth="1"/>
    <col min="10499" max="10499" width="14.19921875" style="88" customWidth="1"/>
    <col min="10500" max="10500" width="4.59765625" style="88" customWidth="1"/>
    <col min="10501" max="10501" width="9.59765625" style="88" customWidth="1"/>
    <col min="10502" max="10502" width="8.19921875" style="88" bestFit="1" customWidth="1"/>
    <col min="10503" max="10504" width="7" style="88" customWidth="1"/>
    <col min="10505" max="10505" width="5.69921875" style="88" customWidth="1"/>
    <col min="10506" max="10506" width="7.8984375" style="88" customWidth="1"/>
    <col min="10507" max="10507" width="7.59765625" style="88" customWidth="1"/>
    <col min="10508" max="10751" width="7" style="88"/>
    <col min="10752" max="10752" width="6.8984375" style="88" customWidth="1"/>
    <col min="10753" max="10753" width="9" style="88" customWidth="1"/>
    <col min="10754" max="10754" width="16" style="88" customWidth="1"/>
    <col min="10755" max="10755" width="14.19921875" style="88" customWidth="1"/>
    <col min="10756" max="10756" width="4.59765625" style="88" customWidth="1"/>
    <col min="10757" max="10757" width="9.59765625" style="88" customWidth="1"/>
    <col min="10758" max="10758" width="8.19921875" style="88" bestFit="1" customWidth="1"/>
    <col min="10759" max="10760" width="7" style="88" customWidth="1"/>
    <col min="10761" max="10761" width="5.69921875" style="88" customWidth="1"/>
    <col min="10762" max="10762" width="7.8984375" style="88" customWidth="1"/>
    <col min="10763" max="10763" width="7.59765625" style="88" customWidth="1"/>
    <col min="10764" max="11007" width="7" style="88"/>
    <col min="11008" max="11008" width="6.8984375" style="88" customWidth="1"/>
    <col min="11009" max="11009" width="9" style="88" customWidth="1"/>
    <col min="11010" max="11010" width="16" style="88" customWidth="1"/>
    <col min="11011" max="11011" width="14.19921875" style="88" customWidth="1"/>
    <col min="11012" max="11012" width="4.59765625" style="88" customWidth="1"/>
    <col min="11013" max="11013" width="9.59765625" style="88" customWidth="1"/>
    <col min="11014" max="11014" width="8.19921875" style="88" bestFit="1" customWidth="1"/>
    <col min="11015" max="11016" width="7" style="88" customWidth="1"/>
    <col min="11017" max="11017" width="5.69921875" style="88" customWidth="1"/>
    <col min="11018" max="11018" width="7.8984375" style="88" customWidth="1"/>
    <col min="11019" max="11019" width="7.59765625" style="88" customWidth="1"/>
    <col min="11020" max="11263" width="7" style="88"/>
    <col min="11264" max="11264" width="6.8984375" style="88" customWidth="1"/>
    <col min="11265" max="11265" width="9" style="88" customWidth="1"/>
    <col min="11266" max="11266" width="16" style="88" customWidth="1"/>
    <col min="11267" max="11267" width="14.19921875" style="88" customWidth="1"/>
    <col min="11268" max="11268" width="4.59765625" style="88" customWidth="1"/>
    <col min="11269" max="11269" width="9.59765625" style="88" customWidth="1"/>
    <col min="11270" max="11270" width="8.19921875" style="88" bestFit="1" customWidth="1"/>
    <col min="11271" max="11272" width="7" style="88" customWidth="1"/>
    <col min="11273" max="11273" width="5.69921875" style="88" customWidth="1"/>
    <col min="11274" max="11274" width="7.8984375" style="88" customWidth="1"/>
    <col min="11275" max="11275" width="7.59765625" style="88" customWidth="1"/>
    <col min="11276" max="11519" width="7" style="88"/>
    <col min="11520" max="11520" width="6.8984375" style="88" customWidth="1"/>
    <col min="11521" max="11521" width="9" style="88" customWidth="1"/>
    <col min="11522" max="11522" width="16" style="88" customWidth="1"/>
    <col min="11523" max="11523" width="14.19921875" style="88" customWidth="1"/>
    <col min="11524" max="11524" width="4.59765625" style="88" customWidth="1"/>
    <col min="11525" max="11525" width="9.59765625" style="88" customWidth="1"/>
    <col min="11526" max="11526" width="8.19921875" style="88" bestFit="1" customWidth="1"/>
    <col min="11527" max="11528" width="7" style="88" customWidth="1"/>
    <col min="11529" max="11529" width="5.69921875" style="88" customWidth="1"/>
    <col min="11530" max="11530" width="7.8984375" style="88" customWidth="1"/>
    <col min="11531" max="11531" width="7.59765625" style="88" customWidth="1"/>
    <col min="11532" max="11775" width="7" style="88"/>
    <col min="11776" max="11776" width="6.8984375" style="88" customWidth="1"/>
    <col min="11777" max="11777" width="9" style="88" customWidth="1"/>
    <col min="11778" max="11778" width="16" style="88" customWidth="1"/>
    <col min="11779" max="11779" width="14.19921875" style="88" customWidth="1"/>
    <col min="11780" max="11780" width="4.59765625" style="88" customWidth="1"/>
    <col min="11781" max="11781" width="9.59765625" style="88" customWidth="1"/>
    <col min="11782" max="11782" width="8.19921875" style="88" bestFit="1" customWidth="1"/>
    <col min="11783" max="11784" width="7" style="88" customWidth="1"/>
    <col min="11785" max="11785" width="5.69921875" style="88" customWidth="1"/>
    <col min="11786" max="11786" width="7.8984375" style="88" customWidth="1"/>
    <col min="11787" max="11787" width="7.59765625" style="88" customWidth="1"/>
    <col min="11788" max="12031" width="7" style="88"/>
    <col min="12032" max="12032" width="6.8984375" style="88" customWidth="1"/>
    <col min="12033" max="12033" width="9" style="88" customWidth="1"/>
    <col min="12034" max="12034" width="16" style="88" customWidth="1"/>
    <col min="12035" max="12035" width="14.19921875" style="88" customWidth="1"/>
    <col min="12036" max="12036" width="4.59765625" style="88" customWidth="1"/>
    <col min="12037" max="12037" width="9.59765625" style="88" customWidth="1"/>
    <col min="12038" max="12038" width="8.19921875" style="88" bestFit="1" customWidth="1"/>
    <col min="12039" max="12040" width="7" style="88" customWidth="1"/>
    <col min="12041" max="12041" width="5.69921875" style="88" customWidth="1"/>
    <col min="12042" max="12042" width="7.8984375" style="88" customWidth="1"/>
    <col min="12043" max="12043" width="7.59765625" style="88" customWidth="1"/>
    <col min="12044" max="12287" width="7" style="88"/>
    <col min="12288" max="12288" width="6.8984375" style="88" customWidth="1"/>
    <col min="12289" max="12289" width="9" style="88" customWidth="1"/>
    <col min="12290" max="12290" width="16" style="88" customWidth="1"/>
    <col min="12291" max="12291" width="14.19921875" style="88" customWidth="1"/>
    <col min="12292" max="12292" width="4.59765625" style="88" customWidth="1"/>
    <col min="12293" max="12293" width="9.59765625" style="88" customWidth="1"/>
    <col min="12294" max="12294" width="8.19921875" style="88" bestFit="1" customWidth="1"/>
    <col min="12295" max="12296" width="7" style="88" customWidth="1"/>
    <col min="12297" max="12297" width="5.69921875" style="88" customWidth="1"/>
    <col min="12298" max="12298" width="7.8984375" style="88" customWidth="1"/>
    <col min="12299" max="12299" width="7.59765625" style="88" customWidth="1"/>
    <col min="12300" max="12543" width="7" style="88"/>
    <col min="12544" max="12544" width="6.8984375" style="88" customWidth="1"/>
    <col min="12545" max="12545" width="9" style="88" customWidth="1"/>
    <col min="12546" max="12546" width="16" style="88" customWidth="1"/>
    <col min="12547" max="12547" width="14.19921875" style="88" customWidth="1"/>
    <col min="12548" max="12548" width="4.59765625" style="88" customWidth="1"/>
    <col min="12549" max="12549" width="9.59765625" style="88" customWidth="1"/>
    <col min="12550" max="12550" width="8.19921875" style="88" bestFit="1" customWidth="1"/>
    <col min="12551" max="12552" width="7" style="88" customWidth="1"/>
    <col min="12553" max="12553" width="5.69921875" style="88" customWidth="1"/>
    <col min="12554" max="12554" width="7.8984375" style="88" customWidth="1"/>
    <col min="12555" max="12555" width="7.59765625" style="88" customWidth="1"/>
    <col min="12556" max="12799" width="7" style="88"/>
    <col min="12800" max="12800" width="6.8984375" style="88" customWidth="1"/>
    <col min="12801" max="12801" width="9" style="88" customWidth="1"/>
    <col min="12802" max="12802" width="16" style="88" customWidth="1"/>
    <col min="12803" max="12803" width="14.19921875" style="88" customWidth="1"/>
    <col min="12804" max="12804" width="4.59765625" style="88" customWidth="1"/>
    <col min="12805" max="12805" width="9.59765625" style="88" customWidth="1"/>
    <col min="12806" max="12806" width="8.19921875" style="88" bestFit="1" customWidth="1"/>
    <col min="12807" max="12808" width="7" style="88" customWidth="1"/>
    <col min="12809" max="12809" width="5.69921875" style="88" customWidth="1"/>
    <col min="12810" max="12810" width="7.8984375" style="88" customWidth="1"/>
    <col min="12811" max="12811" width="7.59765625" style="88" customWidth="1"/>
    <col min="12812" max="13055" width="7" style="88"/>
    <col min="13056" max="13056" width="6.8984375" style="88" customWidth="1"/>
    <col min="13057" max="13057" width="9" style="88" customWidth="1"/>
    <col min="13058" max="13058" width="16" style="88" customWidth="1"/>
    <col min="13059" max="13059" width="14.19921875" style="88" customWidth="1"/>
    <col min="13060" max="13060" width="4.59765625" style="88" customWidth="1"/>
    <col min="13061" max="13061" width="9.59765625" style="88" customWidth="1"/>
    <col min="13062" max="13062" width="8.19921875" style="88" bestFit="1" customWidth="1"/>
    <col min="13063" max="13064" width="7" style="88" customWidth="1"/>
    <col min="13065" max="13065" width="5.69921875" style="88" customWidth="1"/>
    <col min="13066" max="13066" width="7.8984375" style="88" customWidth="1"/>
    <col min="13067" max="13067" width="7.59765625" style="88" customWidth="1"/>
    <col min="13068" max="13311" width="7" style="88"/>
    <col min="13312" max="13312" width="6.8984375" style="88" customWidth="1"/>
    <col min="13313" max="13313" width="9" style="88" customWidth="1"/>
    <col min="13314" max="13314" width="16" style="88" customWidth="1"/>
    <col min="13315" max="13315" width="14.19921875" style="88" customWidth="1"/>
    <col min="13316" max="13316" width="4.59765625" style="88" customWidth="1"/>
    <col min="13317" max="13317" width="9.59765625" style="88" customWidth="1"/>
    <col min="13318" max="13318" width="8.19921875" style="88" bestFit="1" customWidth="1"/>
    <col min="13319" max="13320" width="7" style="88" customWidth="1"/>
    <col min="13321" max="13321" width="5.69921875" style="88" customWidth="1"/>
    <col min="13322" max="13322" width="7.8984375" style="88" customWidth="1"/>
    <col min="13323" max="13323" width="7.59765625" style="88" customWidth="1"/>
    <col min="13324" max="13567" width="7" style="88"/>
    <col min="13568" max="13568" width="6.8984375" style="88" customWidth="1"/>
    <col min="13569" max="13569" width="9" style="88" customWidth="1"/>
    <col min="13570" max="13570" width="16" style="88" customWidth="1"/>
    <col min="13571" max="13571" width="14.19921875" style="88" customWidth="1"/>
    <col min="13572" max="13572" width="4.59765625" style="88" customWidth="1"/>
    <col min="13573" max="13573" width="9.59765625" style="88" customWidth="1"/>
    <col min="13574" max="13574" width="8.19921875" style="88" bestFit="1" customWidth="1"/>
    <col min="13575" max="13576" width="7" style="88" customWidth="1"/>
    <col min="13577" max="13577" width="5.69921875" style="88" customWidth="1"/>
    <col min="13578" max="13578" width="7.8984375" style="88" customWidth="1"/>
    <col min="13579" max="13579" width="7.59765625" style="88" customWidth="1"/>
    <col min="13580" max="13823" width="7" style="88"/>
    <col min="13824" max="13824" width="6.8984375" style="88" customWidth="1"/>
    <col min="13825" max="13825" width="9" style="88" customWidth="1"/>
    <col min="13826" max="13826" width="16" style="88" customWidth="1"/>
    <col min="13827" max="13827" width="14.19921875" style="88" customWidth="1"/>
    <col min="13828" max="13828" width="4.59765625" style="88" customWidth="1"/>
    <col min="13829" max="13829" width="9.59765625" style="88" customWidth="1"/>
    <col min="13830" max="13830" width="8.19921875" style="88" bestFit="1" customWidth="1"/>
    <col min="13831" max="13832" width="7" style="88" customWidth="1"/>
    <col min="13833" max="13833" width="5.69921875" style="88" customWidth="1"/>
    <col min="13834" max="13834" width="7.8984375" style="88" customWidth="1"/>
    <col min="13835" max="13835" width="7.59765625" style="88" customWidth="1"/>
    <col min="13836" max="14079" width="7" style="88"/>
    <col min="14080" max="14080" width="6.8984375" style="88" customWidth="1"/>
    <col min="14081" max="14081" width="9" style="88" customWidth="1"/>
    <col min="14082" max="14082" width="16" style="88" customWidth="1"/>
    <col min="14083" max="14083" width="14.19921875" style="88" customWidth="1"/>
    <col min="14084" max="14084" width="4.59765625" style="88" customWidth="1"/>
    <col min="14085" max="14085" width="9.59765625" style="88" customWidth="1"/>
    <col min="14086" max="14086" width="8.19921875" style="88" bestFit="1" customWidth="1"/>
    <col min="14087" max="14088" width="7" style="88" customWidth="1"/>
    <col min="14089" max="14089" width="5.69921875" style="88" customWidth="1"/>
    <col min="14090" max="14090" width="7.8984375" style="88" customWidth="1"/>
    <col min="14091" max="14091" width="7.59765625" style="88" customWidth="1"/>
    <col min="14092" max="14335" width="7" style="88"/>
    <col min="14336" max="14336" width="6.8984375" style="88" customWidth="1"/>
    <col min="14337" max="14337" width="9" style="88" customWidth="1"/>
    <col min="14338" max="14338" width="16" style="88" customWidth="1"/>
    <col min="14339" max="14339" width="14.19921875" style="88" customWidth="1"/>
    <col min="14340" max="14340" width="4.59765625" style="88" customWidth="1"/>
    <col min="14341" max="14341" width="9.59765625" style="88" customWidth="1"/>
    <col min="14342" max="14342" width="8.19921875" style="88" bestFit="1" customWidth="1"/>
    <col min="14343" max="14344" width="7" style="88" customWidth="1"/>
    <col min="14345" max="14345" width="5.69921875" style="88" customWidth="1"/>
    <col min="14346" max="14346" width="7.8984375" style="88" customWidth="1"/>
    <col min="14347" max="14347" width="7.59765625" style="88" customWidth="1"/>
    <col min="14348" max="14591" width="7" style="88"/>
    <col min="14592" max="14592" width="6.8984375" style="88" customWidth="1"/>
    <col min="14593" max="14593" width="9" style="88" customWidth="1"/>
    <col min="14594" max="14594" width="16" style="88" customWidth="1"/>
    <col min="14595" max="14595" width="14.19921875" style="88" customWidth="1"/>
    <col min="14596" max="14596" width="4.59765625" style="88" customWidth="1"/>
    <col min="14597" max="14597" width="9.59765625" style="88" customWidth="1"/>
    <col min="14598" max="14598" width="8.19921875" style="88" bestFit="1" customWidth="1"/>
    <col min="14599" max="14600" width="7" style="88" customWidth="1"/>
    <col min="14601" max="14601" width="5.69921875" style="88" customWidth="1"/>
    <col min="14602" max="14602" width="7.8984375" style="88" customWidth="1"/>
    <col min="14603" max="14603" width="7.59765625" style="88" customWidth="1"/>
    <col min="14604" max="14847" width="7" style="88"/>
    <col min="14848" max="14848" width="6.8984375" style="88" customWidth="1"/>
    <col min="14849" max="14849" width="9" style="88" customWidth="1"/>
    <col min="14850" max="14850" width="16" style="88" customWidth="1"/>
    <col min="14851" max="14851" width="14.19921875" style="88" customWidth="1"/>
    <col min="14852" max="14852" width="4.59765625" style="88" customWidth="1"/>
    <col min="14853" max="14853" width="9.59765625" style="88" customWidth="1"/>
    <col min="14854" max="14854" width="8.19921875" style="88" bestFit="1" customWidth="1"/>
    <col min="14855" max="14856" width="7" style="88" customWidth="1"/>
    <col min="14857" max="14857" width="5.69921875" style="88" customWidth="1"/>
    <col min="14858" max="14858" width="7.8984375" style="88" customWidth="1"/>
    <col min="14859" max="14859" width="7.59765625" style="88" customWidth="1"/>
    <col min="14860" max="15103" width="7" style="88"/>
    <col min="15104" max="15104" width="6.8984375" style="88" customWidth="1"/>
    <col min="15105" max="15105" width="9" style="88" customWidth="1"/>
    <col min="15106" max="15106" width="16" style="88" customWidth="1"/>
    <col min="15107" max="15107" width="14.19921875" style="88" customWidth="1"/>
    <col min="15108" max="15108" width="4.59765625" style="88" customWidth="1"/>
    <col min="15109" max="15109" width="9.59765625" style="88" customWidth="1"/>
    <col min="15110" max="15110" width="8.19921875" style="88" bestFit="1" customWidth="1"/>
    <col min="15111" max="15112" width="7" style="88" customWidth="1"/>
    <col min="15113" max="15113" width="5.69921875" style="88" customWidth="1"/>
    <col min="15114" max="15114" width="7.8984375" style="88" customWidth="1"/>
    <col min="15115" max="15115" width="7.59765625" style="88" customWidth="1"/>
    <col min="15116" max="15359" width="7" style="88"/>
    <col min="15360" max="15360" width="6.8984375" style="88" customWidth="1"/>
    <col min="15361" max="15361" width="9" style="88" customWidth="1"/>
    <col min="15362" max="15362" width="16" style="88" customWidth="1"/>
    <col min="15363" max="15363" width="14.19921875" style="88" customWidth="1"/>
    <col min="15364" max="15364" width="4.59765625" style="88" customWidth="1"/>
    <col min="15365" max="15365" width="9.59765625" style="88" customWidth="1"/>
    <col min="15366" max="15366" width="8.19921875" style="88" bestFit="1" customWidth="1"/>
    <col min="15367" max="15368" width="7" style="88" customWidth="1"/>
    <col min="15369" max="15369" width="5.69921875" style="88" customWidth="1"/>
    <col min="15370" max="15370" width="7.8984375" style="88" customWidth="1"/>
    <col min="15371" max="15371" width="7.59765625" style="88" customWidth="1"/>
    <col min="15372" max="15615" width="7" style="88"/>
    <col min="15616" max="15616" width="6.8984375" style="88" customWidth="1"/>
    <col min="15617" max="15617" width="9" style="88" customWidth="1"/>
    <col min="15618" max="15618" width="16" style="88" customWidth="1"/>
    <col min="15619" max="15619" width="14.19921875" style="88" customWidth="1"/>
    <col min="15620" max="15620" width="4.59765625" style="88" customWidth="1"/>
    <col min="15621" max="15621" width="9.59765625" style="88" customWidth="1"/>
    <col min="15622" max="15622" width="8.19921875" style="88" bestFit="1" customWidth="1"/>
    <col min="15623" max="15624" width="7" style="88" customWidth="1"/>
    <col min="15625" max="15625" width="5.69921875" style="88" customWidth="1"/>
    <col min="15626" max="15626" width="7.8984375" style="88" customWidth="1"/>
    <col min="15627" max="15627" width="7.59765625" style="88" customWidth="1"/>
    <col min="15628" max="15871" width="7" style="88"/>
    <col min="15872" max="15872" width="6.8984375" style="88" customWidth="1"/>
    <col min="15873" max="15873" width="9" style="88" customWidth="1"/>
    <col min="15874" max="15874" width="16" style="88" customWidth="1"/>
    <col min="15875" max="15875" width="14.19921875" style="88" customWidth="1"/>
    <col min="15876" max="15876" width="4.59765625" style="88" customWidth="1"/>
    <col min="15877" max="15877" width="9.59765625" style="88" customWidth="1"/>
    <col min="15878" max="15878" width="8.19921875" style="88" bestFit="1" customWidth="1"/>
    <col min="15879" max="15880" width="7" style="88" customWidth="1"/>
    <col min="15881" max="15881" width="5.69921875" style="88" customWidth="1"/>
    <col min="15882" max="15882" width="7.8984375" style="88" customWidth="1"/>
    <col min="15883" max="15883" width="7.59765625" style="88" customWidth="1"/>
    <col min="15884" max="16127" width="7" style="88"/>
    <col min="16128" max="16128" width="6.8984375" style="88" customWidth="1"/>
    <col min="16129" max="16129" width="9" style="88" customWidth="1"/>
    <col min="16130" max="16130" width="16" style="88" customWidth="1"/>
    <col min="16131" max="16131" width="14.19921875" style="88" customWidth="1"/>
    <col min="16132" max="16132" width="4.59765625" style="88" customWidth="1"/>
    <col min="16133" max="16133" width="9.59765625" style="88" customWidth="1"/>
    <col min="16134" max="16134" width="8.19921875" style="88" bestFit="1" customWidth="1"/>
    <col min="16135" max="16136" width="7" style="88" customWidth="1"/>
    <col min="16137" max="16137" width="5.69921875" style="88" customWidth="1"/>
    <col min="16138" max="16138" width="7.8984375" style="88" customWidth="1"/>
    <col min="16139" max="16139" width="7.59765625" style="88" customWidth="1"/>
    <col min="16140" max="16384" width="7" style="88"/>
  </cols>
  <sheetData>
    <row r="1" spans="1:10" ht="24">
      <c r="A1" s="30" t="s">
        <v>30</v>
      </c>
    </row>
    <row r="2" spans="1:10" s="90" customFormat="1">
      <c r="B2" s="323" t="s">
        <v>31</v>
      </c>
      <c r="C2" s="91" t="s">
        <v>32</v>
      </c>
      <c r="D2" s="91" t="s">
        <v>33</v>
      </c>
      <c r="E2" s="91" t="s">
        <v>272</v>
      </c>
      <c r="F2" s="324" t="s">
        <v>34</v>
      </c>
      <c r="G2" s="324" t="s">
        <v>35</v>
      </c>
      <c r="H2" s="324" t="s">
        <v>36</v>
      </c>
      <c r="I2" s="108" t="s">
        <v>273</v>
      </c>
      <c r="J2" s="325"/>
    </row>
    <row r="3" spans="1:10">
      <c r="A3" s="206"/>
      <c r="B3" s="236">
        <v>110</v>
      </c>
      <c r="C3" s="109" t="str">
        <f t="shared" ref="C3:C34" si="0">IF(B3="","",LOOKUP(B3,$F$105:$F$114,$G$105:$G$114))</f>
        <v xml:space="preserve"> 建    物</v>
      </c>
      <c r="D3" s="36" t="s">
        <v>193</v>
      </c>
      <c r="E3" s="202"/>
      <c r="F3" s="174">
        <v>1</v>
      </c>
      <c r="G3" s="175">
        <v>2000000</v>
      </c>
      <c r="H3" s="176">
        <f t="shared" ref="H3:H79" si="1">+F3*G3</f>
        <v>2000000</v>
      </c>
      <c r="I3" s="282"/>
      <c r="J3" s="92"/>
    </row>
    <row r="4" spans="1:10">
      <c r="A4" s="206"/>
      <c r="B4" s="236">
        <v>110</v>
      </c>
      <c r="C4" s="109" t="str">
        <f t="shared" si="0"/>
        <v xml:space="preserve"> 建    物</v>
      </c>
      <c r="D4" s="93" t="s">
        <v>146</v>
      </c>
      <c r="E4" s="202"/>
      <c r="F4" s="94">
        <v>1</v>
      </c>
      <c r="G4" s="94">
        <v>5000000</v>
      </c>
      <c r="H4" s="176">
        <f t="shared" si="1"/>
        <v>5000000</v>
      </c>
      <c r="I4" s="282"/>
      <c r="J4" s="92"/>
    </row>
    <row r="5" spans="1:10">
      <c r="A5" s="206"/>
      <c r="B5" s="236">
        <v>111</v>
      </c>
      <c r="C5" s="109" t="str">
        <f t="shared" si="0"/>
        <v>付属設備</v>
      </c>
      <c r="D5" s="93" t="s">
        <v>148</v>
      </c>
      <c r="E5" s="202"/>
      <c r="F5" s="94">
        <v>1</v>
      </c>
      <c r="G5" s="94">
        <v>300000</v>
      </c>
      <c r="H5" s="176">
        <f t="shared" ref="H5:H7" si="2">+F5*G5</f>
        <v>300000</v>
      </c>
      <c r="I5" s="282"/>
      <c r="J5" s="92"/>
    </row>
    <row r="6" spans="1:10">
      <c r="A6" s="206"/>
      <c r="B6" s="236">
        <v>111</v>
      </c>
      <c r="C6" s="109" t="str">
        <f t="shared" si="0"/>
        <v>付属設備</v>
      </c>
      <c r="D6" s="93" t="s">
        <v>147</v>
      </c>
      <c r="E6" s="202"/>
      <c r="F6" s="94">
        <v>1</v>
      </c>
      <c r="G6" s="94">
        <v>500000</v>
      </c>
      <c r="H6" s="176">
        <f t="shared" si="2"/>
        <v>500000</v>
      </c>
      <c r="I6" s="282"/>
      <c r="J6" s="92"/>
    </row>
    <row r="7" spans="1:10">
      <c r="A7" s="206"/>
      <c r="B7" s="236">
        <v>112</v>
      </c>
      <c r="C7" s="109" t="str">
        <f t="shared" si="0"/>
        <v>構築物</v>
      </c>
      <c r="D7" s="93" t="s">
        <v>205</v>
      </c>
      <c r="E7" s="202"/>
      <c r="F7" s="174">
        <v>1</v>
      </c>
      <c r="G7" s="175">
        <v>500000</v>
      </c>
      <c r="H7" s="176">
        <f t="shared" si="2"/>
        <v>500000</v>
      </c>
      <c r="I7" s="282"/>
      <c r="J7" s="92"/>
    </row>
    <row r="8" spans="1:10">
      <c r="A8" s="206"/>
      <c r="B8" s="236">
        <v>114</v>
      </c>
      <c r="C8" s="109" t="str">
        <f t="shared" si="0"/>
        <v>器具備品</v>
      </c>
      <c r="D8" s="93" t="s">
        <v>206</v>
      </c>
      <c r="E8" s="202"/>
      <c r="F8" s="174">
        <v>3</v>
      </c>
      <c r="G8" s="175">
        <v>130000</v>
      </c>
      <c r="H8" s="173">
        <f t="shared" si="1"/>
        <v>390000</v>
      </c>
      <c r="I8" s="282"/>
      <c r="J8" s="92"/>
    </row>
    <row r="9" spans="1:10">
      <c r="A9" s="206"/>
      <c r="B9" s="236">
        <v>114</v>
      </c>
      <c r="C9" s="109" t="str">
        <f t="shared" si="0"/>
        <v>器具備品</v>
      </c>
      <c r="D9" s="93" t="s">
        <v>151</v>
      </c>
      <c r="E9" s="281"/>
      <c r="F9" s="94">
        <v>1</v>
      </c>
      <c r="G9" s="94">
        <v>150000</v>
      </c>
      <c r="H9" s="173">
        <f t="shared" si="1"/>
        <v>150000</v>
      </c>
      <c r="I9" s="282"/>
      <c r="J9" s="92"/>
    </row>
    <row r="10" spans="1:10">
      <c r="A10" s="206"/>
      <c r="B10" s="236">
        <v>115</v>
      </c>
      <c r="C10" s="240" t="str">
        <f t="shared" si="0"/>
        <v>車両運搬具</v>
      </c>
      <c r="D10" s="93" t="s">
        <v>149</v>
      </c>
      <c r="E10" s="281"/>
      <c r="F10" s="94">
        <v>1</v>
      </c>
      <c r="G10" s="94">
        <v>1200000</v>
      </c>
      <c r="H10" s="173">
        <f t="shared" si="1"/>
        <v>1200000</v>
      </c>
      <c r="I10" s="282"/>
      <c r="J10" s="92"/>
    </row>
    <row r="11" spans="1:10">
      <c r="A11" s="206"/>
      <c r="B11" s="236">
        <v>116</v>
      </c>
      <c r="C11" s="109" t="str">
        <f t="shared" si="0"/>
        <v>開業費</v>
      </c>
      <c r="D11" s="93" t="s">
        <v>207</v>
      </c>
      <c r="E11" s="281"/>
      <c r="F11" s="94">
        <v>10</v>
      </c>
      <c r="G11" s="94">
        <v>1000</v>
      </c>
      <c r="H11" s="173">
        <f t="shared" si="1"/>
        <v>10000</v>
      </c>
      <c r="I11" s="282"/>
      <c r="J11" s="92"/>
    </row>
    <row r="12" spans="1:10">
      <c r="A12" s="206"/>
      <c r="B12" s="236">
        <v>116</v>
      </c>
      <c r="C12" s="109" t="str">
        <f t="shared" si="0"/>
        <v>開業費</v>
      </c>
      <c r="D12" s="93" t="s">
        <v>152</v>
      </c>
      <c r="E12" s="202"/>
      <c r="F12" s="174">
        <v>1</v>
      </c>
      <c r="G12" s="175">
        <v>5000</v>
      </c>
      <c r="H12" s="173">
        <f t="shared" si="1"/>
        <v>5000</v>
      </c>
      <c r="I12" s="282"/>
      <c r="J12" s="92"/>
    </row>
    <row r="13" spans="1:10">
      <c r="A13" s="206"/>
      <c r="B13" s="236">
        <v>116</v>
      </c>
      <c r="C13" s="109" t="str">
        <f t="shared" si="0"/>
        <v>開業費</v>
      </c>
      <c r="D13" s="93" t="s">
        <v>150</v>
      </c>
      <c r="E13" s="202"/>
      <c r="F13" s="174">
        <v>5</v>
      </c>
      <c r="G13" s="175">
        <v>10000</v>
      </c>
      <c r="H13" s="173">
        <f t="shared" si="1"/>
        <v>50000</v>
      </c>
      <c r="I13" s="282"/>
      <c r="J13" s="92"/>
    </row>
    <row r="14" spans="1:10">
      <c r="A14" s="206"/>
      <c r="B14" s="236">
        <v>116</v>
      </c>
      <c r="C14" s="109" t="str">
        <f t="shared" si="0"/>
        <v>開業費</v>
      </c>
      <c r="D14" s="93" t="s">
        <v>208</v>
      </c>
      <c r="E14" s="93"/>
      <c r="F14" s="174">
        <v>1</v>
      </c>
      <c r="G14" s="174">
        <v>30000</v>
      </c>
      <c r="H14" s="173">
        <f t="shared" si="1"/>
        <v>30000</v>
      </c>
      <c r="I14" s="282"/>
      <c r="J14" s="92"/>
    </row>
    <row r="15" spans="1:10">
      <c r="A15" s="206"/>
      <c r="B15" s="236">
        <v>116</v>
      </c>
      <c r="C15" s="109" t="str">
        <f t="shared" si="0"/>
        <v>開業費</v>
      </c>
      <c r="D15" s="93" t="s">
        <v>209</v>
      </c>
      <c r="E15" s="93"/>
      <c r="F15" s="174">
        <v>2</v>
      </c>
      <c r="G15" s="175">
        <v>30000</v>
      </c>
      <c r="H15" s="173">
        <f t="shared" si="1"/>
        <v>60000</v>
      </c>
      <c r="I15" s="282"/>
      <c r="J15" s="92"/>
    </row>
    <row r="16" spans="1:10">
      <c r="A16" s="206"/>
      <c r="B16" s="236">
        <v>116</v>
      </c>
      <c r="C16" s="109" t="str">
        <f t="shared" si="0"/>
        <v>開業費</v>
      </c>
      <c r="D16" s="93" t="s">
        <v>210</v>
      </c>
      <c r="E16" s="93"/>
      <c r="F16" s="174">
        <v>2</v>
      </c>
      <c r="G16" s="174">
        <v>35000</v>
      </c>
      <c r="H16" s="173">
        <f t="shared" si="1"/>
        <v>70000</v>
      </c>
      <c r="I16" s="282"/>
      <c r="J16" s="92"/>
    </row>
    <row r="17" spans="1:10">
      <c r="A17" s="206"/>
      <c r="B17" s="236">
        <v>116</v>
      </c>
      <c r="C17" s="109" t="str">
        <f t="shared" si="0"/>
        <v>開業費</v>
      </c>
      <c r="D17" s="93" t="s">
        <v>211</v>
      </c>
      <c r="E17" s="93"/>
      <c r="F17" s="174">
        <v>1</v>
      </c>
      <c r="G17" s="174">
        <v>50000</v>
      </c>
      <c r="H17" s="173">
        <f t="shared" si="1"/>
        <v>50000</v>
      </c>
      <c r="I17" s="282"/>
      <c r="J17" s="92"/>
    </row>
    <row r="18" spans="1:10">
      <c r="A18" s="206"/>
      <c r="B18" s="236">
        <v>116</v>
      </c>
      <c r="C18" s="109" t="str">
        <f t="shared" si="0"/>
        <v>開業費</v>
      </c>
      <c r="D18" s="93" t="s">
        <v>212</v>
      </c>
      <c r="E18" s="93"/>
      <c r="F18" s="174">
        <v>10</v>
      </c>
      <c r="G18" s="175">
        <v>500</v>
      </c>
      <c r="H18" s="173">
        <f t="shared" si="1"/>
        <v>5000</v>
      </c>
      <c r="I18" s="282"/>
      <c r="J18" s="92"/>
    </row>
    <row r="19" spans="1:10">
      <c r="A19" s="206"/>
      <c r="B19" s="236">
        <v>116</v>
      </c>
      <c r="C19" s="109" t="str">
        <f t="shared" si="0"/>
        <v>開業費</v>
      </c>
      <c r="D19" s="93" t="s">
        <v>213</v>
      </c>
      <c r="E19" s="93"/>
      <c r="F19" s="174">
        <v>6</v>
      </c>
      <c r="G19" s="175">
        <v>2000</v>
      </c>
      <c r="H19" s="173">
        <f t="shared" si="1"/>
        <v>12000</v>
      </c>
      <c r="I19" s="282"/>
      <c r="J19" s="92"/>
    </row>
    <row r="20" spans="1:10">
      <c r="A20" s="206"/>
      <c r="B20" s="236">
        <v>116</v>
      </c>
      <c r="C20" s="109" t="str">
        <f t="shared" si="0"/>
        <v>開業費</v>
      </c>
      <c r="D20" s="93" t="s">
        <v>214</v>
      </c>
      <c r="E20" s="93"/>
      <c r="F20" s="174">
        <v>2</v>
      </c>
      <c r="G20" s="175">
        <v>3000</v>
      </c>
      <c r="H20" s="173">
        <f t="shared" si="1"/>
        <v>6000</v>
      </c>
      <c r="I20" s="282"/>
      <c r="J20" s="92"/>
    </row>
    <row r="21" spans="1:10">
      <c r="A21" s="206"/>
      <c r="B21" s="236">
        <v>116</v>
      </c>
      <c r="C21" s="109" t="str">
        <f t="shared" si="0"/>
        <v>開業費</v>
      </c>
      <c r="D21" s="93" t="s">
        <v>215</v>
      </c>
      <c r="E21" s="93"/>
      <c r="F21" s="174">
        <v>1</v>
      </c>
      <c r="G21" s="175">
        <v>5000</v>
      </c>
      <c r="H21" s="173">
        <f t="shared" si="1"/>
        <v>5000</v>
      </c>
      <c r="I21" s="282"/>
      <c r="J21" s="92"/>
    </row>
    <row r="22" spans="1:10">
      <c r="A22" s="206"/>
      <c r="B22" s="236">
        <v>116</v>
      </c>
      <c r="C22" s="109" t="str">
        <f t="shared" si="0"/>
        <v>開業費</v>
      </c>
      <c r="D22" s="93" t="s">
        <v>216</v>
      </c>
      <c r="E22" s="93"/>
      <c r="F22" s="94">
        <v>3</v>
      </c>
      <c r="G22" s="95">
        <v>5000</v>
      </c>
      <c r="H22" s="173">
        <f t="shared" si="1"/>
        <v>15000</v>
      </c>
      <c r="I22" s="282"/>
      <c r="J22" s="92"/>
    </row>
    <row r="23" spans="1:10">
      <c r="A23" s="206"/>
      <c r="B23" s="236">
        <v>116</v>
      </c>
      <c r="C23" s="109" t="str">
        <f t="shared" si="0"/>
        <v>開業費</v>
      </c>
      <c r="D23" s="93" t="s">
        <v>217</v>
      </c>
      <c r="E23" s="93"/>
      <c r="F23" s="94">
        <v>5</v>
      </c>
      <c r="G23" s="94">
        <v>8000</v>
      </c>
      <c r="H23" s="173">
        <f t="shared" si="1"/>
        <v>40000</v>
      </c>
      <c r="I23" s="282"/>
      <c r="J23" s="92"/>
    </row>
    <row r="24" spans="1:10">
      <c r="A24" s="206"/>
      <c r="B24" s="236">
        <v>116</v>
      </c>
      <c r="C24" s="109" t="str">
        <f t="shared" si="0"/>
        <v>開業費</v>
      </c>
      <c r="D24" s="93" t="s">
        <v>218</v>
      </c>
      <c r="E24" s="93"/>
      <c r="F24" s="94">
        <v>3</v>
      </c>
      <c r="G24" s="94">
        <v>10000</v>
      </c>
      <c r="H24" s="173">
        <f t="shared" si="1"/>
        <v>30000</v>
      </c>
      <c r="I24" s="282"/>
      <c r="J24" s="92"/>
    </row>
    <row r="25" spans="1:10">
      <c r="A25" s="206"/>
      <c r="B25" s="236">
        <v>116</v>
      </c>
      <c r="C25" s="109" t="str">
        <f t="shared" si="0"/>
        <v>開業費</v>
      </c>
      <c r="D25" s="93" t="s">
        <v>219</v>
      </c>
      <c r="E25" s="93"/>
      <c r="F25" s="94">
        <v>2</v>
      </c>
      <c r="G25" s="95">
        <v>10000</v>
      </c>
      <c r="H25" s="173">
        <f t="shared" si="1"/>
        <v>20000</v>
      </c>
      <c r="I25" s="282"/>
      <c r="J25" s="92"/>
    </row>
    <row r="26" spans="1:10">
      <c r="A26" s="206"/>
      <c r="B26" s="236">
        <v>116</v>
      </c>
      <c r="C26" s="109" t="str">
        <f t="shared" si="0"/>
        <v>開業費</v>
      </c>
      <c r="D26" s="93" t="s">
        <v>220</v>
      </c>
      <c r="E26" s="93"/>
      <c r="F26" s="94">
        <v>1</v>
      </c>
      <c r="G26" s="95">
        <v>10000</v>
      </c>
      <c r="H26" s="173">
        <f t="shared" si="1"/>
        <v>10000</v>
      </c>
      <c r="I26" s="282"/>
      <c r="J26" s="92"/>
    </row>
    <row r="27" spans="1:10">
      <c r="A27" s="206"/>
      <c r="B27" s="236">
        <v>116</v>
      </c>
      <c r="C27" s="109" t="str">
        <f t="shared" si="0"/>
        <v>開業費</v>
      </c>
      <c r="D27" s="93" t="s">
        <v>221</v>
      </c>
      <c r="E27" s="93"/>
      <c r="F27" s="94">
        <v>8</v>
      </c>
      <c r="G27" s="95">
        <v>12000</v>
      </c>
      <c r="H27" s="173">
        <f t="shared" si="1"/>
        <v>96000</v>
      </c>
      <c r="I27" s="282"/>
      <c r="J27" s="92"/>
    </row>
    <row r="28" spans="1:10">
      <c r="A28" s="206"/>
      <c r="B28" s="236">
        <v>116</v>
      </c>
      <c r="C28" s="109" t="str">
        <f t="shared" si="0"/>
        <v>開業費</v>
      </c>
      <c r="D28" s="93" t="s">
        <v>222</v>
      </c>
      <c r="E28" s="93"/>
      <c r="F28" s="94">
        <v>1</v>
      </c>
      <c r="G28" s="95">
        <v>20000</v>
      </c>
      <c r="H28" s="173">
        <f t="shared" si="1"/>
        <v>20000</v>
      </c>
      <c r="I28" s="282"/>
      <c r="J28" s="92"/>
    </row>
    <row r="29" spans="1:10">
      <c r="A29" s="206"/>
      <c r="B29" s="236">
        <v>116</v>
      </c>
      <c r="C29" s="109" t="str">
        <f t="shared" si="0"/>
        <v>開業費</v>
      </c>
      <c r="D29" s="93" t="s">
        <v>223</v>
      </c>
      <c r="E29" s="93"/>
      <c r="F29" s="94">
        <v>1</v>
      </c>
      <c r="G29" s="95">
        <v>20000</v>
      </c>
      <c r="H29" s="173">
        <f t="shared" si="1"/>
        <v>20000</v>
      </c>
      <c r="I29" s="282"/>
      <c r="J29" s="92"/>
    </row>
    <row r="30" spans="1:10">
      <c r="A30" s="206"/>
      <c r="B30" s="236">
        <v>116</v>
      </c>
      <c r="C30" s="109" t="str">
        <f t="shared" si="0"/>
        <v>開業費</v>
      </c>
      <c r="D30" s="93" t="s">
        <v>224</v>
      </c>
      <c r="E30" s="93"/>
      <c r="F30" s="94">
        <v>1</v>
      </c>
      <c r="G30" s="95">
        <v>20000</v>
      </c>
      <c r="H30" s="173">
        <f t="shared" si="1"/>
        <v>20000</v>
      </c>
      <c r="I30" s="282"/>
      <c r="J30" s="92"/>
    </row>
    <row r="31" spans="1:10">
      <c r="A31" s="206"/>
      <c r="B31" s="236">
        <v>116</v>
      </c>
      <c r="C31" s="109" t="str">
        <f t="shared" si="0"/>
        <v>開業費</v>
      </c>
      <c r="D31" s="93" t="s">
        <v>225</v>
      </c>
      <c r="E31" s="93"/>
      <c r="F31" s="94">
        <v>1</v>
      </c>
      <c r="G31" s="95">
        <v>30000</v>
      </c>
      <c r="H31" s="173">
        <f t="shared" si="1"/>
        <v>30000</v>
      </c>
      <c r="I31" s="282"/>
      <c r="J31" s="92"/>
    </row>
    <row r="32" spans="1:10">
      <c r="A32" s="206"/>
      <c r="B32" s="236">
        <v>116</v>
      </c>
      <c r="C32" s="109" t="str">
        <f t="shared" si="0"/>
        <v>開業費</v>
      </c>
      <c r="D32" s="93" t="s">
        <v>226</v>
      </c>
      <c r="E32" s="93"/>
      <c r="F32" s="94">
        <v>3</v>
      </c>
      <c r="G32" s="95">
        <v>50000</v>
      </c>
      <c r="H32" s="173">
        <f t="shared" si="1"/>
        <v>150000</v>
      </c>
      <c r="I32" s="282"/>
      <c r="J32" s="92"/>
    </row>
    <row r="33" spans="1:10">
      <c r="A33" s="206"/>
      <c r="B33" s="236">
        <v>116</v>
      </c>
      <c r="C33" s="109" t="str">
        <f t="shared" si="0"/>
        <v>開業費</v>
      </c>
      <c r="D33" s="93" t="s">
        <v>227</v>
      </c>
      <c r="E33" s="93"/>
      <c r="F33" s="94">
        <v>1</v>
      </c>
      <c r="G33" s="95">
        <v>20000</v>
      </c>
      <c r="H33" s="173">
        <f t="shared" si="1"/>
        <v>20000</v>
      </c>
      <c r="I33" s="282"/>
      <c r="J33" s="92"/>
    </row>
    <row r="34" spans="1:10">
      <c r="A34" s="206"/>
      <c r="B34" s="236">
        <v>116</v>
      </c>
      <c r="C34" s="109" t="str">
        <f t="shared" si="0"/>
        <v>開業費</v>
      </c>
      <c r="D34" s="93" t="s">
        <v>228</v>
      </c>
      <c r="E34" s="93"/>
      <c r="F34" s="94">
        <v>2</v>
      </c>
      <c r="G34" s="95">
        <v>5000</v>
      </c>
      <c r="H34" s="173">
        <f t="shared" si="1"/>
        <v>10000</v>
      </c>
      <c r="I34" s="282"/>
      <c r="J34" s="92"/>
    </row>
    <row r="35" spans="1:10">
      <c r="A35" s="206"/>
      <c r="B35" s="236">
        <v>116</v>
      </c>
      <c r="C35" s="109" t="str">
        <f t="shared" ref="C35:C66" si="3">IF(B35="","",LOOKUP(B35,$F$105:$F$114,$G$105:$G$114))</f>
        <v>開業費</v>
      </c>
      <c r="D35" s="93" t="s">
        <v>229</v>
      </c>
      <c r="E35" s="93"/>
      <c r="F35" s="94">
        <v>1</v>
      </c>
      <c r="G35" s="95">
        <v>20000</v>
      </c>
      <c r="H35" s="173">
        <f t="shared" si="1"/>
        <v>20000</v>
      </c>
      <c r="I35" s="282"/>
      <c r="J35" s="92"/>
    </row>
    <row r="36" spans="1:10">
      <c r="A36" s="206"/>
      <c r="B36" s="236">
        <v>116</v>
      </c>
      <c r="C36" s="109" t="str">
        <f t="shared" si="3"/>
        <v>開業費</v>
      </c>
      <c r="D36" s="93" t="s">
        <v>156</v>
      </c>
      <c r="E36" s="93"/>
      <c r="F36" s="94">
        <v>10</v>
      </c>
      <c r="G36" s="95">
        <v>200</v>
      </c>
      <c r="H36" s="173">
        <f t="shared" si="1"/>
        <v>2000</v>
      </c>
      <c r="I36" s="282"/>
      <c r="J36" s="92"/>
    </row>
    <row r="37" spans="1:10">
      <c r="A37" s="206"/>
      <c r="B37" s="236">
        <v>116</v>
      </c>
      <c r="C37" s="109" t="str">
        <f t="shared" si="3"/>
        <v>開業費</v>
      </c>
      <c r="D37" s="93" t="s">
        <v>153</v>
      </c>
      <c r="E37" s="93"/>
      <c r="F37" s="94">
        <v>1</v>
      </c>
      <c r="G37" s="95">
        <v>50000</v>
      </c>
      <c r="H37" s="173">
        <f t="shared" si="1"/>
        <v>50000</v>
      </c>
      <c r="I37" s="282"/>
      <c r="J37" s="92"/>
    </row>
    <row r="38" spans="1:10">
      <c r="A38" s="206"/>
      <c r="B38" s="236">
        <v>116</v>
      </c>
      <c r="C38" s="109" t="str">
        <f t="shared" si="3"/>
        <v>開業費</v>
      </c>
      <c r="D38" s="93" t="s">
        <v>230</v>
      </c>
      <c r="E38" s="93"/>
      <c r="F38" s="94">
        <v>1</v>
      </c>
      <c r="G38" s="95">
        <v>500</v>
      </c>
      <c r="H38" s="173">
        <f t="shared" si="1"/>
        <v>500</v>
      </c>
      <c r="I38" s="282"/>
      <c r="J38" s="92"/>
    </row>
    <row r="39" spans="1:10">
      <c r="A39" s="206"/>
      <c r="B39" s="236">
        <v>116</v>
      </c>
      <c r="C39" s="109" t="str">
        <f t="shared" si="3"/>
        <v>開業費</v>
      </c>
      <c r="D39" s="93" t="s">
        <v>231</v>
      </c>
      <c r="E39" s="93"/>
      <c r="F39" s="94">
        <v>1</v>
      </c>
      <c r="G39" s="94">
        <v>30000</v>
      </c>
      <c r="H39" s="173">
        <f t="shared" si="1"/>
        <v>30000</v>
      </c>
      <c r="I39" s="282"/>
      <c r="J39" s="92"/>
    </row>
    <row r="40" spans="1:10">
      <c r="A40" s="206"/>
      <c r="B40" s="236">
        <v>116</v>
      </c>
      <c r="C40" s="109" t="str">
        <f t="shared" si="3"/>
        <v>開業費</v>
      </c>
      <c r="D40" s="93" t="s">
        <v>232</v>
      </c>
      <c r="E40" s="93"/>
      <c r="F40" s="94">
        <v>1</v>
      </c>
      <c r="G40" s="94">
        <v>30000</v>
      </c>
      <c r="H40" s="173">
        <f t="shared" si="1"/>
        <v>30000</v>
      </c>
      <c r="I40" s="282"/>
      <c r="J40" s="92"/>
    </row>
    <row r="41" spans="1:10">
      <c r="A41" s="206"/>
      <c r="B41" s="236">
        <v>116</v>
      </c>
      <c r="C41" s="109" t="str">
        <f t="shared" si="3"/>
        <v>開業費</v>
      </c>
      <c r="D41" s="93" t="s">
        <v>233</v>
      </c>
      <c r="E41" s="93"/>
      <c r="F41" s="94">
        <v>1</v>
      </c>
      <c r="G41" s="94">
        <v>30000</v>
      </c>
      <c r="H41" s="173">
        <f t="shared" si="1"/>
        <v>30000</v>
      </c>
      <c r="I41" s="282"/>
      <c r="J41" s="92"/>
    </row>
    <row r="42" spans="1:10">
      <c r="A42" s="206"/>
      <c r="B42" s="236">
        <v>116</v>
      </c>
      <c r="C42" s="109" t="str">
        <f t="shared" si="3"/>
        <v>開業費</v>
      </c>
      <c r="D42" s="93" t="s">
        <v>209</v>
      </c>
      <c r="E42" s="93"/>
      <c r="F42" s="94">
        <v>4</v>
      </c>
      <c r="G42" s="94">
        <v>30000</v>
      </c>
      <c r="H42" s="173">
        <f t="shared" si="1"/>
        <v>120000</v>
      </c>
      <c r="I42" s="282"/>
      <c r="J42" s="92"/>
    </row>
    <row r="43" spans="1:10">
      <c r="A43" s="206"/>
      <c r="B43" s="236">
        <v>116</v>
      </c>
      <c r="C43" s="109" t="str">
        <f t="shared" si="3"/>
        <v>開業費</v>
      </c>
      <c r="D43" s="93" t="s">
        <v>234</v>
      </c>
      <c r="E43" s="93"/>
      <c r="F43" s="94">
        <v>1</v>
      </c>
      <c r="G43" s="94">
        <v>50000</v>
      </c>
      <c r="H43" s="173">
        <f t="shared" si="1"/>
        <v>50000</v>
      </c>
      <c r="I43" s="282"/>
      <c r="J43" s="92"/>
    </row>
    <row r="44" spans="1:10">
      <c r="A44" s="206"/>
      <c r="B44" s="236">
        <v>116</v>
      </c>
      <c r="C44" s="109" t="str">
        <f t="shared" si="3"/>
        <v>開業費</v>
      </c>
      <c r="D44" s="93" t="s">
        <v>157</v>
      </c>
      <c r="E44" s="93"/>
      <c r="F44" s="94">
        <v>1</v>
      </c>
      <c r="G44" s="94">
        <v>3000</v>
      </c>
      <c r="H44" s="173">
        <f t="shared" si="1"/>
        <v>3000</v>
      </c>
      <c r="I44" s="282"/>
      <c r="J44" s="92"/>
    </row>
    <row r="45" spans="1:10">
      <c r="A45" s="206"/>
      <c r="B45" s="236">
        <v>116</v>
      </c>
      <c r="C45" s="109" t="str">
        <f t="shared" si="3"/>
        <v>開業費</v>
      </c>
      <c r="D45" s="93" t="s">
        <v>235</v>
      </c>
      <c r="E45" s="93"/>
      <c r="F45" s="94">
        <v>1</v>
      </c>
      <c r="G45" s="94">
        <v>10000</v>
      </c>
      <c r="H45" s="173">
        <f t="shared" si="1"/>
        <v>10000</v>
      </c>
      <c r="I45" s="282"/>
      <c r="J45" s="92"/>
    </row>
    <row r="46" spans="1:10">
      <c r="A46" s="206"/>
      <c r="B46" s="236">
        <v>116</v>
      </c>
      <c r="C46" s="109" t="str">
        <f t="shared" si="3"/>
        <v>開業費</v>
      </c>
      <c r="D46" s="93" t="s">
        <v>236</v>
      </c>
      <c r="E46" s="93"/>
      <c r="F46" s="94">
        <v>50</v>
      </c>
      <c r="G46" s="94">
        <v>500</v>
      </c>
      <c r="H46" s="173">
        <f t="shared" si="1"/>
        <v>25000</v>
      </c>
      <c r="I46" s="282"/>
      <c r="J46" s="92"/>
    </row>
    <row r="47" spans="1:10">
      <c r="A47" s="206"/>
      <c r="B47" s="236">
        <v>116</v>
      </c>
      <c r="C47" s="109" t="str">
        <f t="shared" si="3"/>
        <v>開業費</v>
      </c>
      <c r="D47" s="93" t="s">
        <v>237</v>
      </c>
      <c r="E47" s="93"/>
      <c r="F47" s="94">
        <v>1</v>
      </c>
      <c r="G47" s="94">
        <v>3000</v>
      </c>
      <c r="H47" s="173">
        <f t="shared" si="1"/>
        <v>3000</v>
      </c>
      <c r="I47" s="282"/>
      <c r="J47" s="92"/>
    </row>
    <row r="48" spans="1:10" ht="24">
      <c r="A48" s="206"/>
      <c r="B48" s="236">
        <v>116</v>
      </c>
      <c r="C48" s="109" t="str">
        <f t="shared" si="3"/>
        <v>開業費</v>
      </c>
      <c r="D48" s="93" t="s">
        <v>239</v>
      </c>
      <c r="E48" s="283" t="s">
        <v>240</v>
      </c>
      <c r="F48" s="94">
        <v>1</v>
      </c>
      <c r="G48" s="94">
        <v>150000</v>
      </c>
      <c r="H48" s="173">
        <f t="shared" si="1"/>
        <v>150000</v>
      </c>
      <c r="I48" s="282"/>
      <c r="J48" s="92"/>
    </row>
    <row r="49" spans="1:10">
      <c r="A49" s="206"/>
      <c r="B49" s="236">
        <v>116</v>
      </c>
      <c r="C49" s="109" t="str">
        <f t="shared" si="3"/>
        <v>開業費</v>
      </c>
      <c r="D49" s="93" t="s">
        <v>238</v>
      </c>
      <c r="E49" s="93"/>
      <c r="F49" s="94">
        <v>1</v>
      </c>
      <c r="G49" s="94">
        <v>60000</v>
      </c>
      <c r="H49" s="173">
        <f t="shared" si="1"/>
        <v>60000</v>
      </c>
      <c r="I49" s="282"/>
      <c r="J49" s="92"/>
    </row>
    <row r="50" spans="1:10">
      <c r="A50" s="206"/>
      <c r="B50" s="236"/>
      <c r="C50" s="109" t="str">
        <f t="shared" si="3"/>
        <v/>
      </c>
      <c r="D50" s="93"/>
      <c r="E50" s="93"/>
      <c r="F50" s="94"/>
      <c r="G50" s="94"/>
      <c r="H50" s="173">
        <f t="shared" si="1"/>
        <v>0</v>
      </c>
      <c r="I50" s="282"/>
      <c r="J50" s="92"/>
    </row>
    <row r="51" spans="1:10">
      <c r="A51" s="206"/>
      <c r="B51" s="236"/>
      <c r="C51" s="109" t="str">
        <f t="shared" si="3"/>
        <v/>
      </c>
      <c r="D51" s="93"/>
      <c r="E51" s="93"/>
      <c r="F51" s="94"/>
      <c r="G51" s="94"/>
      <c r="H51" s="173">
        <f t="shared" si="1"/>
        <v>0</v>
      </c>
      <c r="I51" s="282"/>
      <c r="J51" s="92"/>
    </row>
    <row r="52" spans="1:10">
      <c r="A52" s="206"/>
      <c r="B52" s="236"/>
      <c r="C52" s="109" t="str">
        <f t="shared" si="3"/>
        <v/>
      </c>
      <c r="D52" s="93"/>
      <c r="E52" s="93"/>
      <c r="F52" s="94"/>
      <c r="G52" s="94"/>
      <c r="H52" s="173">
        <f t="shared" si="1"/>
        <v>0</v>
      </c>
      <c r="I52" s="282"/>
      <c r="J52" s="92"/>
    </row>
    <row r="53" spans="1:10">
      <c r="A53" s="206"/>
      <c r="B53" s="236"/>
      <c r="C53" s="109" t="str">
        <f t="shared" si="3"/>
        <v/>
      </c>
      <c r="D53" s="93"/>
      <c r="E53" s="93"/>
      <c r="F53" s="94"/>
      <c r="G53" s="94"/>
      <c r="H53" s="173">
        <f t="shared" si="1"/>
        <v>0</v>
      </c>
      <c r="I53" s="282"/>
      <c r="J53" s="92"/>
    </row>
    <row r="54" spans="1:10">
      <c r="A54" s="206"/>
      <c r="B54" s="236"/>
      <c r="C54" s="109" t="str">
        <f t="shared" si="3"/>
        <v/>
      </c>
      <c r="D54" s="93"/>
      <c r="E54" s="93"/>
      <c r="F54" s="94"/>
      <c r="G54" s="94"/>
      <c r="H54" s="173">
        <f t="shared" si="1"/>
        <v>0</v>
      </c>
      <c r="I54" s="282"/>
      <c r="J54" s="92"/>
    </row>
    <row r="55" spans="1:10">
      <c r="A55" s="206"/>
      <c r="B55" s="236"/>
      <c r="C55" s="109" t="str">
        <f t="shared" si="3"/>
        <v/>
      </c>
      <c r="D55" s="93"/>
      <c r="E55" s="93"/>
      <c r="F55" s="94"/>
      <c r="G55" s="94"/>
      <c r="H55" s="173">
        <f t="shared" si="1"/>
        <v>0</v>
      </c>
      <c r="I55" s="282"/>
      <c r="J55" s="92"/>
    </row>
    <row r="56" spans="1:10">
      <c r="A56" s="206"/>
      <c r="B56" s="236"/>
      <c r="C56" s="109" t="str">
        <f t="shared" si="3"/>
        <v/>
      </c>
      <c r="D56" s="93"/>
      <c r="E56" s="93"/>
      <c r="F56" s="94"/>
      <c r="G56" s="94"/>
      <c r="H56" s="173">
        <f t="shared" si="1"/>
        <v>0</v>
      </c>
      <c r="I56" s="282"/>
      <c r="J56" s="92"/>
    </row>
    <row r="57" spans="1:10">
      <c r="A57" s="206"/>
      <c r="B57" s="236"/>
      <c r="C57" s="109" t="str">
        <f t="shared" si="3"/>
        <v/>
      </c>
      <c r="D57" s="93"/>
      <c r="E57" s="93"/>
      <c r="F57" s="94"/>
      <c r="G57" s="94"/>
      <c r="H57" s="173">
        <f t="shared" si="1"/>
        <v>0</v>
      </c>
      <c r="I57" s="282"/>
      <c r="J57" s="92"/>
    </row>
    <row r="58" spans="1:10">
      <c r="A58" s="206"/>
      <c r="B58" s="236"/>
      <c r="C58" s="109" t="str">
        <f t="shared" si="3"/>
        <v/>
      </c>
      <c r="D58" s="93"/>
      <c r="E58" s="93"/>
      <c r="F58" s="94"/>
      <c r="G58" s="94"/>
      <c r="H58" s="173">
        <f t="shared" si="1"/>
        <v>0</v>
      </c>
      <c r="I58" s="282"/>
      <c r="J58" s="92"/>
    </row>
    <row r="59" spans="1:10">
      <c r="A59" s="206"/>
      <c r="B59" s="236"/>
      <c r="C59" s="109" t="str">
        <f t="shared" si="3"/>
        <v/>
      </c>
      <c r="D59" s="93"/>
      <c r="E59" s="93"/>
      <c r="F59" s="94"/>
      <c r="G59" s="94"/>
      <c r="H59" s="173">
        <f t="shared" si="1"/>
        <v>0</v>
      </c>
      <c r="I59" s="282"/>
      <c r="J59" s="92"/>
    </row>
    <row r="60" spans="1:10">
      <c r="A60" s="206"/>
      <c r="B60" s="236"/>
      <c r="C60" s="109" t="str">
        <f t="shared" si="3"/>
        <v/>
      </c>
      <c r="D60" s="93"/>
      <c r="E60" s="93"/>
      <c r="F60" s="94"/>
      <c r="G60" s="94"/>
      <c r="H60" s="173">
        <f t="shared" si="1"/>
        <v>0</v>
      </c>
      <c r="I60" s="282"/>
      <c r="J60" s="92"/>
    </row>
    <row r="61" spans="1:10">
      <c r="A61" s="206"/>
      <c r="B61" s="236"/>
      <c r="C61" s="109" t="str">
        <f t="shared" si="3"/>
        <v/>
      </c>
      <c r="D61" s="93"/>
      <c r="E61" s="93"/>
      <c r="F61" s="94"/>
      <c r="G61" s="94"/>
      <c r="H61" s="173">
        <f t="shared" si="1"/>
        <v>0</v>
      </c>
      <c r="I61" s="282"/>
      <c r="J61" s="92"/>
    </row>
    <row r="62" spans="1:10">
      <c r="A62" s="206"/>
      <c r="B62" s="236"/>
      <c r="C62" s="109" t="str">
        <f t="shared" si="3"/>
        <v/>
      </c>
      <c r="D62" s="93"/>
      <c r="E62" s="93"/>
      <c r="F62" s="94"/>
      <c r="G62" s="94"/>
      <c r="H62" s="173">
        <f t="shared" si="1"/>
        <v>0</v>
      </c>
      <c r="I62" s="282"/>
      <c r="J62" s="92"/>
    </row>
    <row r="63" spans="1:10">
      <c r="A63" s="206"/>
      <c r="B63" s="236"/>
      <c r="C63" s="109" t="str">
        <f t="shared" si="3"/>
        <v/>
      </c>
      <c r="D63" s="93"/>
      <c r="E63" s="93"/>
      <c r="F63" s="94"/>
      <c r="G63" s="94"/>
      <c r="H63" s="173">
        <f t="shared" si="1"/>
        <v>0</v>
      </c>
      <c r="I63" s="282"/>
      <c r="J63" s="92"/>
    </row>
    <row r="64" spans="1:10">
      <c r="A64" s="206"/>
      <c r="B64" s="236"/>
      <c r="C64" s="109" t="str">
        <f t="shared" si="3"/>
        <v/>
      </c>
      <c r="D64" s="93"/>
      <c r="E64" s="93"/>
      <c r="F64" s="94"/>
      <c r="G64" s="94"/>
      <c r="H64" s="173">
        <f t="shared" si="1"/>
        <v>0</v>
      </c>
      <c r="I64" s="282"/>
      <c r="J64" s="92"/>
    </row>
    <row r="65" spans="1:10">
      <c r="A65" s="206"/>
      <c r="B65" s="236"/>
      <c r="C65" s="109" t="str">
        <f t="shared" si="3"/>
        <v/>
      </c>
      <c r="D65" s="93"/>
      <c r="E65" s="93"/>
      <c r="F65" s="94"/>
      <c r="G65" s="94"/>
      <c r="H65" s="173">
        <f t="shared" si="1"/>
        <v>0</v>
      </c>
      <c r="I65" s="282"/>
      <c r="J65" s="92"/>
    </row>
    <row r="66" spans="1:10">
      <c r="A66" s="206"/>
      <c r="B66" s="236"/>
      <c r="C66" s="109" t="str">
        <f t="shared" si="3"/>
        <v/>
      </c>
      <c r="D66" s="93"/>
      <c r="E66" s="93"/>
      <c r="F66" s="94"/>
      <c r="G66" s="94"/>
      <c r="H66" s="173">
        <f t="shared" si="1"/>
        <v>0</v>
      </c>
      <c r="I66" s="282"/>
      <c r="J66" s="92"/>
    </row>
    <row r="67" spans="1:10">
      <c r="A67" s="206"/>
      <c r="B67" s="236"/>
      <c r="C67" s="109" t="str">
        <f t="shared" ref="C67:C98" si="4">IF(B67="","",LOOKUP(B67,$F$105:$F$114,$G$105:$G$114))</f>
        <v/>
      </c>
      <c r="D67" s="93"/>
      <c r="E67" s="93"/>
      <c r="F67" s="94"/>
      <c r="G67" s="94"/>
      <c r="H67" s="173">
        <f t="shared" si="1"/>
        <v>0</v>
      </c>
      <c r="I67" s="282"/>
      <c r="J67" s="92"/>
    </row>
    <row r="68" spans="1:10">
      <c r="A68" s="206"/>
      <c r="B68" s="236"/>
      <c r="C68" s="109" t="str">
        <f t="shared" si="4"/>
        <v/>
      </c>
      <c r="D68" s="93"/>
      <c r="E68" s="93"/>
      <c r="F68" s="94"/>
      <c r="G68" s="94"/>
      <c r="H68" s="173">
        <f t="shared" si="1"/>
        <v>0</v>
      </c>
      <c r="I68" s="282"/>
      <c r="J68" s="92"/>
    </row>
    <row r="69" spans="1:10">
      <c r="A69" s="206"/>
      <c r="B69" s="236"/>
      <c r="C69" s="109" t="str">
        <f t="shared" si="4"/>
        <v/>
      </c>
      <c r="D69" s="93"/>
      <c r="E69" s="93"/>
      <c r="F69" s="94"/>
      <c r="G69" s="94"/>
      <c r="H69" s="173">
        <f t="shared" si="1"/>
        <v>0</v>
      </c>
      <c r="I69" s="282"/>
      <c r="J69" s="92"/>
    </row>
    <row r="70" spans="1:10">
      <c r="A70" s="206"/>
      <c r="B70" s="236"/>
      <c r="C70" s="109" t="str">
        <f t="shared" si="4"/>
        <v/>
      </c>
      <c r="D70" s="93"/>
      <c r="E70" s="93"/>
      <c r="F70" s="94"/>
      <c r="G70" s="94"/>
      <c r="H70" s="173">
        <f t="shared" si="1"/>
        <v>0</v>
      </c>
      <c r="I70" s="282"/>
      <c r="J70" s="92"/>
    </row>
    <row r="71" spans="1:10">
      <c r="A71" s="206"/>
      <c r="B71" s="236"/>
      <c r="C71" s="109" t="str">
        <f t="shared" si="4"/>
        <v/>
      </c>
      <c r="D71" s="93"/>
      <c r="E71" s="93"/>
      <c r="F71" s="94"/>
      <c r="G71" s="94"/>
      <c r="H71" s="173">
        <f t="shared" si="1"/>
        <v>0</v>
      </c>
      <c r="I71" s="282"/>
      <c r="J71" s="92"/>
    </row>
    <row r="72" spans="1:10">
      <c r="A72" s="206"/>
      <c r="B72" s="236"/>
      <c r="C72" s="109" t="str">
        <f t="shared" si="4"/>
        <v/>
      </c>
      <c r="D72" s="93"/>
      <c r="E72" s="93"/>
      <c r="F72" s="94"/>
      <c r="G72" s="94"/>
      <c r="H72" s="173">
        <f t="shared" si="1"/>
        <v>0</v>
      </c>
      <c r="I72" s="282"/>
      <c r="J72" s="92"/>
    </row>
    <row r="73" spans="1:10">
      <c r="A73" s="206"/>
      <c r="B73" s="236"/>
      <c r="C73" s="109" t="str">
        <f t="shared" si="4"/>
        <v/>
      </c>
      <c r="D73" s="93"/>
      <c r="E73" s="93"/>
      <c r="F73" s="94"/>
      <c r="G73" s="94"/>
      <c r="H73" s="173">
        <f t="shared" si="1"/>
        <v>0</v>
      </c>
      <c r="I73" s="282"/>
      <c r="J73" s="92"/>
    </row>
    <row r="74" spans="1:10">
      <c r="A74" s="206"/>
      <c r="B74" s="236"/>
      <c r="C74" s="109" t="str">
        <f t="shared" si="4"/>
        <v/>
      </c>
      <c r="D74" s="93"/>
      <c r="E74" s="93"/>
      <c r="F74" s="94"/>
      <c r="G74" s="94"/>
      <c r="H74" s="173">
        <f t="shared" si="1"/>
        <v>0</v>
      </c>
      <c r="I74" s="282"/>
      <c r="J74" s="92"/>
    </row>
    <row r="75" spans="1:10">
      <c r="A75" s="206"/>
      <c r="B75" s="236"/>
      <c r="C75" s="109" t="str">
        <f t="shared" si="4"/>
        <v/>
      </c>
      <c r="D75" s="93"/>
      <c r="E75" s="93"/>
      <c r="F75" s="94"/>
      <c r="G75" s="94"/>
      <c r="H75" s="173">
        <f t="shared" si="1"/>
        <v>0</v>
      </c>
      <c r="I75" s="282"/>
      <c r="J75" s="92"/>
    </row>
    <row r="76" spans="1:10">
      <c r="A76" s="206"/>
      <c r="B76" s="236"/>
      <c r="C76" s="109" t="str">
        <f t="shared" si="4"/>
        <v/>
      </c>
      <c r="D76" s="93"/>
      <c r="E76" s="93"/>
      <c r="F76" s="94"/>
      <c r="G76" s="94"/>
      <c r="H76" s="173">
        <f t="shared" si="1"/>
        <v>0</v>
      </c>
      <c r="I76" s="282"/>
      <c r="J76" s="92"/>
    </row>
    <row r="77" spans="1:10">
      <c r="A77" s="206"/>
      <c r="B77" s="236"/>
      <c r="C77" s="109" t="str">
        <f t="shared" si="4"/>
        <v/>
      </c>
      <c r="D77" s="93"/>
      <c r="E77" s="93"/>
      <c r="F77" s="94"/>
      <c r="G77" s="94"/>
      <c r="H77" s="173">
        <f t="shared" si="1"/>
        <v>0</v>
      </c>
      <c r="I77" s="282"/>
      <c r="J77" s="92"/>
    </row>
    <row r="78" spans="1:10">
      <c r="A78" s="206"/>
      <c r="B78" s="236"/>
      <c r="C78" s="109" t="str">
        <f t="shared" si="4"/>
        <v/>
      </c>
      <c r="D78" s="93"/>
      <c r="E78" s="93"/>
      <c r="F78" s="94"/>
      <c r="G78" s="94"/>
      <c r="H78" s="173">
        <f t="shared" si="1"/>
        <v>0</v>
      </c>
      <c r="I78" s="282"/>
      <c r="J78" s="92"/>
    </row>
    <row r="79" spans="1:10">
      <c r="A79" s="206"/>
      <c r="B79" s="236"/>
      <c r="C79" s="109" t="str">
        <f t="shared" si="4"/>
        <v/>
      </c>
      <c r="D79" s="93"/>
      <c r="E79" s="93"/>
      <c r="F79" s="94"/>
      <c r="G79" s="94"/>
      <c r="H79" s="173">
        <f t="shared" si="1"/>
        <v>0</v>
      </c>
      <c r="I79" s="282"/>
      <c r="J79" s="92"/>
    </row>
    <row r="80" spans="1:10">
      <c r="A80" s="206"/>
      <c r="B80" s="236"/>
      <c r="C80" s="109" t="str">
        <f t="shared" si="4"/>
        <v/>
      </c>
      <c r="D80" s="93"/>
      <c r="E80" s="93"/>
      <c r="F80" s="94"/>
      <c r="G80" s="94"/>
      <c r="H80" s="173">
        <f t="shared" ref="H80:H93" si="5">+F80*G80</f>
        <v>0</v>
      </c>
      <c r="I80" s="282"/>
      <c r="J80" s="92"/>
    </row>
    <row r="81" spans="1:10">
      <c r="A81" s="206"/>
      <c r="B81" s="236"/>
      <c r="C81" s="109" t="str">
        <f t="shared" si="4"/>
        <v/>
      </c>
      <c r="D81" s="93"/>
      <c r="E81" s="93"/>
      <c r="F81" s="94"/>
      <c r="G81" s="94"/>
      <c r="H81" s="173">
        <f t="shared" si="5"/>
        <v>0</v>
      </c>
      <c r="I81" s="282"/>
      <c r="J81" s="92"/>
    </row>
    <row r="82" spans="1:10">
      <c r="A82" s="206"/>
      <c r="B82" s="236"/>
      <c r="C82" s="109" t="str">
        <f t="shared" si="4"/>
        <v/>
      </c>
      <c r="D82" s="93"/>
      <c r="E82" s="93"/>
      <c r="F82" s="94"/>
      <c r="G82" s="94"/>
      <c r="H82" s="173">
        <f t="shared" si="5"/>
        <v>0</v>
      </c>
      <c r="I82" s="282"/>
      <c r="J82" s="92"/>
    </row>
    <row r="83" spans="1:10">
      <c r="A83" s="206"/>
      <c r="B83" s="236"/>
      <c r="C83" s="109" t="str">
        <f t="shared" si="4"/>
        <v/>
      </c>
      <c r="D83" s="93"/>
      <c r="E83" s="93"/>
      <c r="F83" s="94"/>
      <c r="G83" s="94"/>
      <c r="H83" s="173">
        <f t="shared" si="5"/>
        <v>0</v>
      </c>
      <c r="I83" s="282"/>
      <c r="J83" s="92"/>
    </row>
    <row r="84" spans="1:10">
      <c r="A84" s="206"/>
      <c r="B84" s="236"/>
      <c r="C84" s="109" t="str">
        <f t="shared" si="4"/>
        <v/>
      </c>
      <c r="D84" s="93"/>
      <c r="E84" s="93"/>
      <c r="F84" s="94"/>
      <c r="G84" s="94"/>
      <c r="H84" s="173">
        <f t="shared" si="5"/>
        <v>0</v>
      </c>
      <c r="I84" s="282"/>
      <c r="J84" s="92"/>
    </row>
    <row r="85" spans="1:10">
      <c r="A85" s="206"/>
      <c r="B85" s="236"/>
      <c r="C85" s="109" t="str">
        <f t="shared" si="4"/>
        <v/>
      </c>
      <c r="D85" s="93"/>
      <c r="E85" s="93"/>
      <c r="F85" s="94"/>
      <c r="G85" s="94"/>
      <c r="H85" s="173">
        <f t="shared" si="5"/>
        <v>0</v>
      </c>
      <c r="I85" s="282"/>
      <c r="J85" s="92"/>
    </row>
    <row r="86" spans="1:10">
      <c r="A86" s="206"/>
      <c r="B86" s="236"/>
      <c r="C86" s="109" t="str">
        <f t="shared" si="4"/>
        <v/>
      </c>
      <c r="D86" s="93"/>
      <c r="E86" s="93"/>
      <c r="F86" s="94"/>
      <c r="G86" s="94"/>
      <c r="H86" s="173">
        <f t="shared" si="5"/>
        <v>0</v>
      </c>
      <c r="I86" s="282"/>
      <c r="J86" s="92"/>
    </row>
    <row r="87" spans="1:10">
      <c r="A87" s="206"/>
      <c r="B87" s="236"/>
      <c r="C87" s="109" t="str">
        <f t="shared" si="4"/>
        <v/>
      </c>
      <c r="D87" s="93"/>
      <c r="E87" s="93"/>
      <c r="F87" s="94"/>
      <c r="G87" s="94"/>
      <c r="H87" s="173">
        <f t="shared" si="5"/>
        <v>0</v>
      </c>
      <c r="I87" s="282"/>
      <c r="J87" s="92"/>
    </row>
    <row r="88" spans="1:10">
      <c r="A88" s="206"/>
      <c r="B88" s="236"/>
      <c r="C88" s="109" t="str">
        <f t="shared" si="4"/>
        <v/>
      </c>
      <c r="D88" s="93"/>
      <c r="E88" s="93"/>
      <c r="F88" s="94"/>
      <c r="G88" s="94"/>
      <c r="H88" s="173">
        <f t="shared" si="5"/>
        <v>0</v>
      </c>
      <c r="I88" s="282"/>
      <c r="J88" s="92"/>
    </row>
    <row r="89" spans="1:10">
      <c r="A89" s="206"/>
      <c r="B89" s="236"/>
      <c r="C89" s="109" t="str">
        <f t="shared" si="4"/>
        <v/>
      </c>
      <c r="D89" s="93"/>
      <c r="E89" s="93"/>
      <c r="F89" s="94"/>
      <c r="G89" s="94"/>
      <c r="H89" s="173">
        <f t="shared" si="5"/>
        <v>0</v>
      </c>
      <c r="I89" s="282"/>
      <c r="J89" s="92"/>
    </row>
    <row r="90" spans="1:10">
      <c r="A90" s="206"/>
      <c r="B90" s="236"/>
      <c r="C90" s="109" t="str">
        <f t="shared" si="4"/>
        <v/>
      </c>
      <c r="D90" s="93"/>
      <c r="E90" s="93"/>
      <c r="F90" s="94"/>
      <c r="G90" s="94"/>
      <c r="H90" s="173">
        <f t="shared" si="5"/>
        <v>0</v>
      </c>
      <c r="I90" s="282"/>
      <c r="J90" s="92"/>
    </row>
    <row r="91" spans="1:10">
      <c r="A91" s="206"/>
      <c r="B91" s="236"/>
      <c r="C91" s="109" t="str">
        <f t="shared" si="4"/>
        <v/>
      </c>
      <c r="D91" s="93"/>
      <c r="E91" s="93"/>
      <c r="F91" s="94"/>
      <c r="G91" s="94"/>
      <c r="H91" s="173">
        <v>0</v>
      </c>
      <c r="I91" s="282"/>
      <c r="J91" s="92"/>
    </row>
    <row r="92" spans="1:10">
      <c r="A92" s="206"/>
      <c r="B92" s="236"/>
      <c r="C92" s="109" t="str">
        <f t="shared" si="4"/>
        <v/>
      </c>
      <c r="D92" s="93"/>
      <c r="E92" s="93"/>
      <c r="F92" s="94"/>
      <c r="G92" s="94"/>
      <c r="H92" s="173">
        <f t="shared" si="5"/>
        <v>0</v>
      </c>
      <c r="I92" s="282"/>
      <c r="J92" s="92"/>
    </row>
    <row r="93" spans="1:10" ht="14.25" thickBot="1">
      <c r="A93" s="206"/>
      <c r="B93" s="374"/>
      <c r="C93" s="375" t="str">
        <f t="shared" si="4"/>
        <v/>
      </c>
      <c r="D93" s="376"/>
      <c r="E93" s="376"/>
      <c r="F93" s="377"/>
      <c r="G93" s="377"/>
      <c r="H93" s="378">
        <f t="shared" si="5"/>
        <v>0</v>
      </c>
      <c r="I93" s="379"/>
      <c r="J93" s="92"/>
    </row>
    <row r="94" spans="1:10" s="322" customFormat="1">
      <c r="A94" s="320"/>
      <c r="B94" s="380">
        <v>110</v>
      </c>
      <c r="C94" s="381" t="str">
        <f t="shared" si="4"/>
        <v xml:space="preserve"> 建    物</v>
      </c>
      <c r="D94" s="382"/>
      <c r="E94" s="382"/>
      <c r="F94" s="383"/>
      <c r="G94" s="383"/>
      <c r="H94" s="383"/>
      <c r="I94" s="384"/>
      <c r="J94" s="92"/>
    </row>
    <row r="95" spans="1:10" s="322" customFormat="1">
      <c r="A95" s="320"/>
      <c r="B95" s="385">
        <v>111</v>
      </c>
      <c r="C95" s="321" t="str">
        <f t="shared" si="4"/>
        <v>付属設備</v>
      </c>
      <c r="D95" s="93"/>
      <c r="E95" s="93"/>
      <c r="F95" s="94"/>
      <c r="G95" s="94"/>
      <c r="H95" s="94"/>
      <c r="I95" s="386"/>
      <c r="J95" s="92"/>
    </row>
    <row r="96" spans="1:10" s="322" customFormat="1">
      <c r="A96" s="320"/>
      <c r="B96" s="385">
        <v>112</v>
      </c>
      <c r="C96" s="321" t="str">
        <f t="shared" si="4"/>
        <v>構築物</v>
      </c>
      <c r="D96" s="93"/>
      <c r="E96" s="93"/>
      <c r="F96" s="94"/>
      <c r="G96" s="94"/>
      <c r="H96" s="94"/>
      <c r="I96" s="386"/>
      <c r="J96" s="92"/>
    </row>
    <row r="97" spans="1:10" s="322" customFormat="1">
      <c r="A97" s="320"/>
      <c r="B97" s="385">
        <v>113</v>
      </c>
      <c r="C97" s="321" t="str">
        <f t="shared" si="4"/>
        <v>機械装置</v>
      </c>
      <c r="D97" s="93"/>
      <c r="E97" s="93"/>
      <c r="F97" s="94"/>
      <c r="G97" s="94"/>
      <c r="H97" s="94"/>
      <c r="I97" s="386"/>
      <c r="J97" s="92"/>
    </row>
    <row r="98" spans="1:10" s="322" customFormat="1">
      <c r="A98" s="320"/>
      <c r="B98" s="385">
        <v>114</v>
      </c>
      <c r="C98" s="321" t="str">
        <f t="shared" si="4"/>
        <v>器具備品</v>
      </c>
      <c r="D98" s="93"/>
      <c r="E98" s="93"/>
      <c r="F98" s="94"/>
      <c r="G98" s="94"/>
      <c r="H98" s="94"/>
      <c r="I98" s="386"/>
      <c r="J98" s="92"/>
    </row>
    <row r="99" spans="1:10" s="322" customFormat="1">
      <c r="A99" s="320"/>
      <c r="B99" s="385">
        <v>115</v>
      </c>
      <c r="C99" s="321" t="str">
        <f t="shared" ref="C99:C100" si="6">IF(B99="","",LOOKUP(B99,$F$105:$F$114,$G$105:$G$114))</f>
        <v>車両運搬具</v>
      </c>
      <c r="D99" s="93"/>
      <c r="E99" s="93"/>
      <c r="F99" s="94"/>
      <c r="G99" s="94"/>
      <c r="H99" s="94"/>
      <c r="I99" s="386"/>
      <c r="J99" s="92"/>
    </row>
    <row r="100" spans="1:10" s="322" customFormat="1" ht="14.25" thickBot="1">
      <c r="A100" s="320"/>
      <c r="B100" s="387">
        <v>116</v>
      </c>
      <c r="C100" s="388" t="str">
        <f t="shared" si="6"/>
        <v>開業費</v>
      </c>
      <c r="D100" s="389"/>
      <c r="E100" s="389"/>
      <c r="F100" s="390"/>
      <c r="G100" s="390"/>
      <c r="H100" s="390"/>
      <c r="I100" s="391"/>
      <c r="J100" s="92"/>
    </row>
    <row r="101" spans="1:10">
      <c r="F101" s="89" t="s">
        <v>37</v>
      </c>
      <c r="G101" s="89" t="s">
        <v>38</v>
      </c>
      <c r="H101" s="98">
        <f>SUM(H3:H100)</f>
        <v>11407500</v>
      </c>
    </row>
    <row r="103" spans="1:10" ht="17.25">
      <c r="B103" s="521">
        <v>999</v>
      </c>
      <c r="C103" s="522" t="s">
        <v>360</v>
      </c>
      <c r="D103" s="522">
        <f>SUMIF($B$3:$B$100,B103,$H$3:$H$100)</f>
        <v>0</v>
      </c>
      <c r="F103" s="287" t="s">
        <v>241</v>
      </c>
    </row>
    <row r="104" spans="1:10">
      <c r="F104" s="184" t="s">
        <v>39</v>
      </c>
      <c r="G104" s="184" t="s">
        <v>40</v>
      </c>
      <c r="H104" s="184" t="s">
        <v>41</v>
      </c>
    </row>
    <row r="105" spans="1:10">
      <c r="F105" s="238">
        <v>110</v>
      </c>
      <c r="G105" s="238" t="s">
        <v>42</v>
      </c>
      <c r="H105" s="97">
        <f t="shared" ref="H105:H114" si="7">SUMIF($B$3:$B$100,F105,$H$3:$H$100)</f>
        <v>7000000</v>
      </c>
    </row>
    <row r="106" spans="1:10">
      <c r="F106" s="238">
        <v>111</v>
      </c>
      <c r="G106" s="238" t="s">
        <v>43</v>
      </c>
      <c r="H106" s="97">
        <f t="shared" si="7"/>
        <v>800000</v>
      </c>
    </row>
    <row r="107" spans="1:10">
      <c r="E107" s="96"/>
      <c r="F107" s="238">
        <v>112</v>
      </c>
      <c r="G107" s="239" t="s">
        <v>154</v>
      </c>
      <c r="H107" s="97">
        <f t="shared" si="7"/>
        <v>500000</v>
      </c>
    </row>
    <row r="108" spans="1:10">
      <c r="D108" s="181"/>
      <c r="F108" s="238">
        <v>113</v>
      </c>
      <c r="G108" s="238" t="s">
        <v>158</v>
      </c>
      <c r="H108" s="97">
        <f t="shared" si="7"/>
        <v>0</v>
      </c>
    </row>
    <row r="109" spans="1:10">
      <c r="F109" s="238">
        <v>114</v>
      </c>
      <c r="G109" s="238" t="s">
        <v>159</v>
      </c>
      <c r="H109" s="97">
        <f t="shared" si="7"/>
        <v>540000</v>
      </c>
    </row>
    <row r="110" spans="1:10">
      <c r="D110" s="182"/>
      <c r="F110" s="238">
        <v>115</v>
      </c>
      <c r="G110" s="238" t="s">
        <v>160</v>
      </c>
      <c r="H110" s="97">
        <f t="shared" si="7"/>
        <v>1200000</v>
      </c>
    </row>
    <row r="111" spans="1:10">
      <c r="D111" s="183"/>
      <c r="E111" s="180"/>
      <c r="F111" s="238">
        <v>116</v>
      </c>
      <c r="G111" s="238" t="s">
        <v>155</v>
      </c>
      <c r="H111" s="97">
        <f t="shared" si="7"/>
        <v>1367500</v>
      </c>
    </row>
    <row r="112" spans="1:10">
      <c r="D112" s="183"/>
      <c r="E112" s="180"/>
      <c r="F112" s="238"/>
      <c r="G112" s="239"/>
      <c r="H112" s="97">
        <f t="shared" si="7"/>
        <v>0</v>
      </c>
    </row>
    <row r="113" spans="4:9">
      <c r="D113" s="183"/>
      <c r="E113" s="180"/>
      <c r="F113" s="238"/>
      <c r="G113" s="238"/>
      <c r="H113" s="97">
        <f t="shared" si="7"/>
        <v>0</v>
      </c>
    </row>
    <row r="114" spans="4:9">
      <c r="F114" s="238"/>
      <c r="G114" s="238"/>
      <c r="H114" s="97">
        <f t="shared" si="7"/>
        <v>0</v>
      </c>
    </row>
    <row r="115" spans="4:9">
      <c r="G115" s="251" t="s">
        <v>45</v>
      </c>
      <c r="H115" s="242">
        <f>SUM(H105:H114)</f>
        <v>11407500</v>
      </c>
    </row>
    <row r="117" spans="4:9">
      <c r="I117" s="89"/>
    </row>
    <row r="118" spans="4:9">
      <c r="F118" s="272"/>
      <c r="G118" s="308" t="s">
        <v>359</v>
      </c>
      <c r="H118" s="311">
        <f>+評価・判断!C7*1000</f>
        <v>2000000</v>
      </c>
      <c r="I118" s="520"/>
    </row>
    <row r="119" spans="4:9">
      <c r="F119" s="272"/>
      <c r="G119" s="309" t="s">
        <v>265</v>
      </c>
      <c r="H119" s="310">
        <f>+H115-H118</f>
        <v>9407500</v>
      </c>
      <c r="I119" s="272"/>
    </row>
    <row r="120" spans="4:9">
      <c r="F120" s="252"/>
      <c r="G120" s="252"/>
      <c r="H120" s="252"/>
      <c r="I120" s="252"/>
    </row>
    <row r="121" spans="4:9">
      <c r="F121" s="252"/>
    </row>
    <row r="122" spans="4:9">
      <c r="F122" s="252"/>
    </row>
    <row r="130" spans="2:10">
      <c r="I130" s="88"/>
      <c r="J130" s="88"/>
    </row>
    <row r="131" spans="2:10" ht="17.25">
      <c r="I131" s="88"/>
      <c r="J131" s="241"/>
    </row>
    <row r="140" spans="2:10">
      <c r="B140" s="88"/>
    </row>
    <row r="141" spans="2:10">
      <c r="B141" s="88"/>
    </row>
  </sheetData>
  <sortState ref="A3:J100">
    <sortCondition ref="A3:A100"/>
    <sortCondition ref="B3:B100"/>
  </sortState>
  <phoneticPr fontId="3"/>
  <pageMargins left="0.74803149606299213" right="0.74803149606299213" top="0.39370078740157483" bottom="0.39370078740157483" header="0.31496062992125984" footer="0.31496062992125984"/>
  <pageSetup paperSize="8" scale="6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N21"/>
  <sheetViews>
    <sheetView topLeftCell="C12" zoomScale="117" zoomScaleNormal="117" workbookViewId="0">
      <selection activeCell="H33" sqref="H33"/>
    </sheetView>
  </sheetViews>
  <sheetFormatPr defaultColWidth="7" defaultRowHeight="17.25"/>
  <cols>
    <col min="1" max="1" width="7" style="77"/>
    <col min="2" max="2" width="9.59765625" style="77" customWidth="1"/>
    <col min="3" max="3" width="7.3984375" style="77" customWidth="1"/>
    <col min="4" max="4" width="11.19921875" style="78" bestFit="1" customWidth="1"/>
    <col min="5" max="10" width="11.19921875" style="77" bestFit="1" customWidth="1"/>
    <col min="11" max="14" width="10" style="77" bestFit="1" customWidth="1"/>
    <col min="15" max="203" width="7" style="77"/>
    <col min="204" max="204" width="9.59765625" style="77" customWidth="1"/>
    <col min="205" max="205" width="7.3984375" style="77" customWidth="1"/>
    <col min="206" max="206" width="8" style="77" bestFit="1" customWidth="1"/>
    <col min="207" max="207" width="8.19921875" style="77" customWidth="1"/>
    <col min="208" max="208" width="8.69921875" style="77" customWidth="1"/>
    <col min="209" max="209" width="8" style="77" bestFit="1" customWidth="1"/>
    <col min="210" max="210" width="9" style="77" customWidth="1"/>
    <col min="211" max="211" width="8.19921875" style="77" customWidth="1"/>
    <col min="212" max="212" width="7.8984375" style="77" customWidth="1"/>
    <col min="213" max="459" width="7" style="77"/>
    <col min="460" max="460" width="9.59765625" style="77" customWidth="1"/>
    <col min="461" max="461" width="7.3984375" style="77" customWidth="1"/>
    <col min="462" max="462" width="8" style="77" bestFit="1" customWidth="1"/>
    <col min="463" max="463" width="8.19921875" style="77" customWidth="1"/>
    <col min="464" max="464" width="8.69921875" style="77" customWidth="1"/>
    <col min="465" max="465" width="8" style="77" bestFit="1" customWidth="1"/>
    <col min="466" max="466" width="9" style="77" customWidth="1"/>
    <col min="467" max="467" width="8.19921875" style="77" customWidth="1"/>
    <col min="468" max="468" width="7.8984375" style="77" customWidth="1"/>
    <col min="469" max="715" width="7" style="77"/>
    <col min="716" max="716" width="9.59765625" style="77" customWidth="1"/>
    <col min="717" max="717" width="7.3984375" style="77" customWidth="1"/>
    <col min="718" max="718" width="8" style="77" bestFit="1" customWidth="1"/>
    <col min="719" max="719" width="8.19921875" style="77" customWidth="1"/>
    <col min="720" max="720" width="8.69921875" style="77" customWidth="1"/>
    <col min="721" max="721" width="8" style="77" bestFit="1" customWidth="1"/>
    <col min="722" max="722" width="9" style="77" customWidth="1"/>
    <col min="723" max="723" width="8.19921875" style="77" customWidth="1"/>
    <col min="724" max="724" width="7.8984375" style="77" customWidth="1"/>
    <col min="725" max="971" width="7" style="77"/>
    <col min="972" max="972" width="9.59765625" style="77" customWidth="1"/>
    <col min="973" max="973" width="7.3984375" style="77" customWidth="1"/>
    <col min="974" max="974" width="8" style="77" bestFit="1" customWidth="1"/>
    <col min="975" max="975" width="8.19921875" style="77" customWidth="1"/>
    <col min="976" max="976" width="8.69921875" style="77" customWidth="1"/>
    <col min="977" max="977" width="8" style="77" bestFit="1" customWidth="1"/>
    <col min="978" max="978" width="9" style="77" customWidth="1"/>
    <col min="979" max="979" width="8.19921875" style="77" customWidth="1"/>
    <col min="980" max="980" width="7.8984375" style="77" customWidth="1"/>
    <col min="981" max="1227" width="7" style="77"/>
    <col min="1228" max="1228" width="9.59765625" style="77" customWidth="1"/>
    <col min="1229" max="1229" width="7.3984375" style="77" customWidth="1"/>
    <col min="1230" max="1230" width="8" style="77" bestFit="1" customWidth="1"/>
    <col min="1231" max="1231" width="8.19921875" style="77" customWidth="1"/>
    <col min="1232" max="1232" width="8.69921875" style="77" customWidth="1"/>
    <col min="1233" max="1233" width="8" style="77" bestFit="1" customWidth="1"/>
    <col min="1234" max="1234" width="9" style="77" customWidth="1"/>
    <col min="1235" max="1235" width="8.19921875" style="77" customWidth="1"/>
    <col min="1236" max="1236" width="7.8984375" style="77" customWidth="1"/>
    <col min="1237" max="1483" width="7" style="77"/>
    <col min="1484" max="1484" width="9.59765625" style="77" customWidth="1"/>
    <col min="1485" max="1485" width="7.3984375" style="77" customWidth="1"/>
    <col min="1486" max="1486" width="8" style="77" bestFit="1" customWidth="1"/>
    <col min="1487" max="1487" width="8.19921875" style="77" customWidth="1"/>
    <col min="1488" max="1488" width="8.69921875" style="77" customWidth="1"/>
    <col min="1489" max="1489" width="8" style="77" bestFit="1" customWidth="1"/>
    <col min="1490" max="1490" width="9" style="77" customWidth="1"/>
    <col min="1491" max="1491" width="8.19921875" style="77" customWidth="1"/>
    <col min="1492" max="1492" width="7.8984375" style="77" customWidth="1"/>
    <col min="1493" max="1739" width="7" style="77"/>
    <col min="1740" max="1740" width="9.59765625" style="77" customWidth="1"/>
    <col min="1741" max="1741" width="7.3984375" style="77" customWidth="1"/>
    <col min="1742" max="1742" width="8" style="77" bestFit="1" customWidth="1"/>
    <col min="1743" max="1743" width="8.19921875" style="77" customWidth="1"/>
    <col min="1744" max="1744" width="8.69921875" style="77" customWidth="1"/>
    <col min="1745" max="1745" width="8" style="77" bestFit="1" customWidth="1"/>
    <col min="1746" max="1746" width="9" style="77" customWidth="1"/>
    <col min="1747" max="1747" width="8.19921875" style="77" customWidth="1"/>
    <col min="1748" max="1748" width="7.8984375" style="77" customWidth="1"/>
    <col min="1749" max="1995" width="7" style="77"/>
    <col min="1996" max="1996" width="9.59765625" style="77" customWidth="1"/>
    <col min="1997" max="1997" width="7.3984375" style="77" customWidth="1"/>
    <col min="1998" max="1998" width="8" style="77" bestFit="1" customWidth="1"/>
    <col min="1999" max="1999" width="8.19921875" style="77" customWidth="1"/>
    <col min="2000" max="2000" width="8.69921875" style="77" customWidth="1"/>
    <col min="2001" max="2001" width="8" style="77" bestFit="1" customWidth="1"/>
    <col min="2002" max="2002" width="9" style="77" customWidth="1"/>
    <col min="2003" max="2003" width="8.19921875" style="77" customWidth="1"/>
    <col min="2004" max="2004" width="7.8984375" style="77" customWidth="1"/>
    <col min="2005" max="2251" width="7" style="77"/>
    <col min="2252" max="2252" width="9.59765625" style="77" customWidth="1"/>
    <col min="2253" max="2253" width="7.3984375" style="77" customWidth="1"/>
    <col min="2254" max="2254" width="8" style="77" bestFit="1" customWidth="1"/>
    <col min="2255" max="2255" width="8.19921875" style="77" customWidth="1"/>
    <col min="2256" max="2256" width="8.69921875" style="77" customWidth="1"/>
    <col min="2257" max="2257" width="8" style="77" bestFit="1" customWidth="1"/>
    <col min="2258" max="2258" width="9" style="77" customWidth="1"/>
    <col min="2259" max="2259" width="8.19921875" style="77" customWidth="1"/>
    <col min="2260" max="2260" width="7.8984375" style="77" customWidth="1"/>
    <col min="2261" max="2507" width="7" style="77"/>
    <col min="2508" max="2508" width="9.59765625" style="77" customWidth="1"/>
    <col min="2509" max="2509" width="7.3984375" style="77" customWidth="1"/>
    <col min="2510" max="2510" width="8" style="77" bestFit="1" customWidth="1"/>
    <col min="2511" max="2511" width="8.19921875" style="77" customWidth="1"/>
    <col min="2512" max="2512" width="8.69921875" style="77" customWidth="1"/>
    <col min="2513" max="2513" width="8" style="77" bestFit="1" customWidth="1"/>
    <col min="2514" max="2514" width="9" style="77" customWidth="1"/>
    <col min="2515" max="2515" width="8.19921875" style="77" customWidth="1"/>
    <col min="2516" max="2516" width="7.8984375" style="77" customWidth="1"/>
    <col min="2517" max="2763" width="7" style="77"/>
    <col min="2764" max="2764" width="9.59765625" style="77" customWidth="1"/>
    <col min="2765" max="2765" width="7.3984375" style="77" customWidth="1"/>
    <col min="2766" max="2766" width="8" style="77" bestFit="1" customWidth="1"/>
    <col min="2767" max="2767" width="8.19921875" style="77" customWidth="1"/>
    <col min="2768" max="2768" width="8.69921875" style="77" customWidth="1"/>
    <col min="2769" max="2769" width="8" style="77" bestFit="1" customWidth="1"/>
    <col min="2770" max="2770" width="9" style="77" customWidth="1"/>
    <col min="2771" max="2771" width="8.19921875" style="77" customWidth="1"/>
    <col min="2772" max="2772" width="7.8984375" style="77" customWidth="1"/>
    <col min="2773" max="3019" width="7" style="77"/>
    <col min="3020" max="3020" width="9.59765625" style="77" customWidth="1"/>
    <col min="3021" max="3021" width="7.3984375" style="77" customWidth="1"/>
    <col min="3022" max="3022" width="8" style="77" bestFit="1" customWidth="1"/>
    <col min="3023" max="3023" width="8.19921875" style="77" customWidth="1"/>
    <col min="3024" max="3024" width="8.69921875" style="77" customWidth="1"/>
    <col min="3025" max="3025" width="8" style="77" bestFit="1" customWidth="1"/>
    <col min="3026" max="3026" width="9" style="77" customWidth="1"/>
    <col min="3027" max="3027" width="8.19921875" style="77" customWidth="1"/>
    <col min="3028" max="3028" width="7.8984375" style="77" customWidth="1"/>
    <col min="3029" max="3275" width="7" style="77"/>
    <col min="3276" max="3276" width="9.59765625" style="77" customWidth="1"/>
    <col min="3277" max="3277" width="7.3984375" style="77" customWidth="1"/>
    <col min="3278" max="3278" width="8" style="77" bestFit="1" customWidth="1"/>
    <col min="3279" max="3279" width="8.19921875" style="77" customWidth="1"/>
    <col min="3280" max="3280" width="8.69921875" style="77" customWidth="1"/>
    <col min="3281" max="3281" width="8" style="77" bestFit="1" customWidth="1"/>
    <col min="3282" max="3282" width="9" style="77" customWidth="1"/>
    <col min="3283" max="3283" width="8.19921875" style="77" customWidth="1"/>
    <col min="3284" max="3284" width="7.8984375" style="77" customWidth="1"/>
    <col min="3285" max="3531" width="7" style="77"/>
    <col min="3532" max="3532" width="9.59765625" style="77" customWidth="1"/>
    <col min="3533" max="3533" width="7.3984375" style="77" customWidth="1"/>
    <col min="3534" max="3534" width="8" style="77" bestFit="1" customWidth="1"/>
    <col min="3535" max="3535" width="8.19921875" style="77" customWidth="1"/>
    <col min="3536" max="3536" width="8.69921875" style="77" customWidth="1"/>
    <col min="3537" max="3537" width="8" style="77" bestFit="1" customWidth="1"/>
    <col min="3538" max="3538" width="9" style="77" customWidth="1"/>
    <col min="3539" max="3539" width="8.19921875" style="77" customWidth="1"/>
    <col min="3540" max="3540" width="7.8984375" style="77" customWidth="1"/>
    <col min="3541" max="3787" width="7" style="77"/>
    <col min="3788" max="3788" width="9.59765625" style="77" customWidth="1"/>
    <col min="3789" max="3789" width="7.3984375" style="77" customWidth="1"/>
    <col min="3790" max="3790" width="8" style="77" bestFit="1" customWidth="1"/>
    <col min="3791" max="3791" width="8.19921875" style="77" customWidth="1"/>
    <col min="3792" max="3792" width="8.69921875" style="77" customWidth="1"/>
    <col min="3793" max="3793" width="8" style="77" bestFit="1" customWidth="1"/>
    <col min="3794" max="3794" width="9" style="77" customWidth="1"/>
    <col min="3795" max="3795" width="8.19921875" style="77" customWidth="1"/>
    <col min="3796" max="3796" width="7.8984375" style="77" customWidth="1"/>
    <col min="3797" max="4043" width="7" style="77"/>
    <col min="4044" max="4044" width="9.59765625" style="77" customWidth="1"/>
    <col min="4045" max="4045" width="7.3984375" style="77" customWidth="1"/>
    <col min="4046" max="4046" width="8" style="77" bestFit="1" customWidth="1"/>
    <col min="4047" max="4047" width="8.19921875" style="77" customWidth="1"/>
    <col min="4048" max="4048" width="8.69921875" style="77" customWidth="1"/>
    <col min="4049" max="4049" width="8" style="77" bestFit="1" customWidth="1"/>
    <col min="4050" max="4050" width="9" style="77" customWidth="1"/>
    <col min="4051" max="4051" width="8.19921875" style="77" customWidth="1"/>
    <col min="4052" max="4052" width="7.8984375" style="77" customWidth="1"/>
    <col min="4053" max="4299" width="7" style="77"/>
    <col min="4300" max="4300" width="9.59765625" style="77" customWidth="1"/>
    <col min="4301" max="4301" width="7.3984375" style="77" customWidth="1"/>
    <col min="4302" max="4302" width="8" style="77" bestFit="1" customWidth="1"/>
    <col min="4303" max="4303" width="8.19921875" style="77" customWidth="1"/>
    <col min="4304" max="4304" width="8.69921875" style="77" customWidth="1"/>
    <col min="4305" max="4305" width="8" style="77" bestFit="1" customWidth="1"/>
    <col min="4306" max="4306" width="9" style="77" customWidth="1"/>
    <col min="4307" max="4307" width="8.19921875" style="77" customWidth="1"/>
    <col min="4308" max="4308" width="7.8984375" style="77" customWidth="1"/>
    <col min="4309" max="4555" width="7" style="77"/>
    <col min="4556" max="4556" width="9.59765625" style="77" customWidth="1"/>
    <col min="4557" max="4557" width="7.3984375" style="77" customWidth="1"/>
    <col min="4558" max="4558" width="8" style="77" bestFit="1" customWidth="1"/>
    <col min="4559" max="4559" width="8.19921875" style="77" customWidth="1"/>
    <col min="4560" max="4560" width="8.69921875" style="77" customWidth="1"/>
    <col min="4561" max="4561" width="8" style="77" bestFit="1" customWidth="1"/>
    <col min="4562" max="4562" width="9" style="77" customWidth="1"/>
    <col min="4563" max="4563" width="8.19921875" style="77" customWidth="1"/>
    <col min="4564" max="4564" width="7.8984375" style="77" customWidth="1"/>
    <col min="4565" max="4811" width="7" style="77"/>
    <col min="4812" max="4812" width="9.59765625" style="77" customWidth="1"/>
    <col min="4813" max="4813" width="7.3984375" style="77" customWidth="1"/>
    <col min="4814" max="4814" width="8" style="77" bestFit="1" customWidth="1"/>
    <col min="4815" max="4815" width="8.19921875" style="77" customWidth="1"/>
    <col min="4816" max="4816" width="8.69921875" style="77" customWidth="1"/>
    <col min="4817" max="4817" width="8" style="77" bestFit="1" customWidth="1"/>
    <col min="4818" max="4818" width="9" style="77" customWidth="1"/>
    <col min="4819" max="4819" width="8.19921875" style="77" customWidth="1"/>
    <col min="4820" max="4820" width="7.8984375" style="77" customWidth="1"/>
    <col min="4821" max="5067" width="7" style="77"/>
    <col min="5068" max="5068" width="9.59765625" style="77" customWidth="1"/>
    <col min="5069" max="5069" width="7.3984375" style="77" customWidth="1"/>
    <col min="5070" max="5070" width="8" style="77" bestFit="1" customWidth="1"/>
    <col min="5071" max="5071" width="8.19921875" style="77" customWidth="1"/>
    <col min="5072" max="5072" width="8.69921875" style="77" customWidth="1"/>
    <col min="5073" max="5073" width="8" style="77" bestFit="1" customWidth="1"/>
    <col min="5074" max="5074" width="9" style="77" customWidth="1"/>
    <col min="5075" max="5075" width="8.19921875" style="77" customWidth="1"/>
    <col min="5076" max="5076" width="7.8984375" style="77" customWidth="1"/>
    <col min="5077" max="5323" width="7" style="77"/>
    <col min="5324" max="5324" width="9.59765625" style="77" customWidth="1"/>
    <col min="5325" max="5325" width="7.3984375" style="77" customWidth="1"/>
    <col min="5326" max="5326" width="8" style="77" bestFit="1" customWidth="1"/>
    <col min="5327" max="5327" width="8.19921875" style="77" customWidth="1"/>
    <col min="5328" max="5328" width="8.69921875" style="77" customWidth="1"/>
    <col min="5329" max="5329" width="8" style="77" bestFit="1" customWidth="1"/>
    <col min="5330" max="5330" width="9" style="77" customWidth="1"/>
    <col min="5331" max="5331" width="8.19921875" style="77" customWidth="1"/>
    <col min="5332" max="5332" width="7.8984375" style="77" customWidth="1"/>
    <col min="5333" max="5579" width="7" style="77"/>
    <col min="5580" max="5580" width="9.59765625" style="77" customWidth="1"/>
    <col min="5581" max="5581" width="7.3984375" style="77" customWidth="1"/>
    <col min="5582" max="5582" width="8" style="77" bestFit="1" customWidth="1"/>
    <col min="5583" max="5583" width="8.19921875" style="77" customWidth="1"/>
    <col min="5584" max="5584" width="8.69921875" style="77" customWidth="1"/>
    <col min="5585" max="5585" width="8" style="77" bestFit="1" customWidth="1"/>
    <col min="5586" max="5586" width="9" style="77" customWidth="1"/>
    <col min="5587" max="5587" width="8.19921875" style="77" customWidth="1"/>
    <col min="5588" max="5588" width="7.8984375" style="77" customWidth="1"/>
    <col min="5589" max="5835" width="7" style="77"/>
    <col min="5836" max="5836" width="9.59765625" style="77" customWidth="1"/>
    <col min="5837" max="5837" width="7.3984375" style="77" customWidth="1"/>
    <col min="5838" max="5838" width="8" style="77" bestFit="1" customWidth="1"/>
    <col min="5839" max="5839" width="8.19921875" style="77" customWidth="1"/>
    <col min="5840" max="5840" width="8.69921875" style="77" customWidth="1"/>
    <col min="5841" max="5841" width="8" style="77" bestFit="1" customWidth="1"/>
    <col min="5842" max="5842" width="9" style="77" customWidth="1"/>
    <col min="5843" max="5843" width="8.19921875" style="77" customWidth="1"/>
    <col min="5844" max="5844" width="7.8984375" style="77" customWidth="1"/>
    <col min="5845" max="6091" width="7" style="77"/>
    <col min="6092" max="6092" width="9.59765625" style="77" customWidth="1"/>
    <col min="6093" max="6093" width="7.3984375" style="77" customWidth="1"/>
    <col min="6094" max="6094" width="8" style="77" bestFit="1" customWidth="1"/>
    <col min="6095" max="6095" width="8.19921875" style="77" customWidth="1"/>
    <col min="6096" max="6096" width="8.69921875" style="77" customWidth="1"/>
    <col min="6097" max="6097" width="8" style="77" bestFit="1" customWidth="1"/>
    <col min="6098" max="6098" width="9" style="77" customWidth="1"/>
    <col min="6099" max="6099" width="8.19921875" style="77" customWidth="1"/>
    <col min="6100" max="6100" width="7.8984375" style="77" customWidth="1"/>
    <col min="6101" max="6347" width="7" style="77"/>
    <col min="6348" max="6348" width="9.59765625" style="77" customWidth="1"/>
    <col min="6349" max="6349" width="7.3984375" style="77" customWidth="1"/>
    <col min="6350" max="6350" width="8" style="77" bestFit="1" customWidth="1"/>
    <col min="6351" max="6351" width="8.19921875" style="77" customWidth="1"/>
    <col min="6352" max="6352" width="8.69921875" style="77" customWidth="1"/>
    <col min="6353" max="6353" width="8" style="77" bestFit="1" customWidth="1"/>
    <col min="6354" max="6354" width="9" style="77" customWidth="1"/>
    <col min="6355" max="6355" width="8.19921875" style="77" customWidth="1"/>
    <col min="6356" max="6356" width="7.8984375" style="77" customWidth="1"/>
    <col min="6357" max="6603" width="7" style="77"/>
    <col min="6604" max="6604" width="9.59765625" style="77" customWidth="1"/>
    <col min="6605" max="6605" width="7.3984375" style="77" customWidth="1"/>
    <col min="6606" max="6606" width="8" style="77" bestFit="1" customWidth="1"/>
    <col min="6607" max="6607" width="8.19921875" style="77" customWidth="1"/>
    <col min="6608" max="6608" width="8.69921875" style="77" customWidth="1"/>
    <col min="6609" max="6609" width="8" style="77" bestFit="1" customWidth="1"/>
    <col min="6610" max="6610" width="9" style="77" customWidth="1"/>
    <col min="6611" max="6611" width="8.19921875" style="77" customWidth="1"/>
    <col min="6612" max="6612" width="7.8984375" style="77" customWidth="1"/>
    <col min="6613" max="6859" width="7" style="77"/>
    <col min="6860" max="6860" width="9.59765625" style="77" customWidth="1"/>
    <col min="6861" max="6861" width="7.3984375" style="77" customWidth="1"/>
    <col min="6862" max="6862" width="8" style="77" bestFit="1" customWidth="1"/>
    <col min="6863" max="6863" width="8.19921875" style="77" customWidth="1"/>
    <col min="6864" max="6864" width="8.69921875" style="77" customWidth="1"/>
    <col min="6865" max="6865" width="8" style="77" bestFit="1" customWidth="1"/>
    <col min="6866" max="6866" width="9" style="77" customWidth="1"/>
    <col min="6867" max="6867" width="8.19921875" style="77" customWidth="1"/>
    <col min="6868" max="6868" width="7.8984375" style="77" customWidth="1"/>
    <col min="6869" max="7115" width="7" style="77"/>
    <col min="7116" max="7116" width="9.59765625" style="77" customWidth="1"/>
    <col min="7117" max="7117" width="7.3984375" style="77" customWidth="1"/>
    <col min="7118" max="7118" width="8" style="77" bestFit="1" customWidth="1"/>
    <col min="7119" max="7119" width="8.19921875" style="77" customWidth="1"/>
    <col min="7120" max="7120" width="8.69921875" style="77" customWidth="1"/>
    <col min="7121" max="7121" width="8" style="77" bestFit="1" customWidth="1"/>
    <col min="7122" max="7122" width="9" style="77" customWidth="1"/>
    <col min="7123" max="7123" width="8.19921875" style="77" customWidth="1"/>
    <col min="7124" max="7124" width="7.8984375" style="77" customWidth="1"/>
    <col min="7125" max="7371" width="7" style="77"/>
    <col min="7372" max="7372" width="9.59765625" style="77" customWidth="1"/>
    <col min="7373" max="7373" width="7.3984375" style="77" customWidth="1"/>
    <col min="7374" max="7374" width="8" style="77" bestFit="1" customWidth="1"/>
    <col min="7375" max="7375" width="8.19921875" style="77" customWidth="1"/>
    <col min="7376" max="7376" width="8.69921875" style="77" customWidth="1"/>
    <col min="7377" max="7377" width="8" style="77" bestFit="1" customWidth="1"/>
    <col min="7378" max="7378" width="9" style="77" customWidth="1"/>
    <col min="7379" max="7379" width="8.19921875" style="77" customWidth="1"/>
    <col min="7380" max="7380" width="7.8984375" style="77" customWidth="1"/>
    <col min="7381" max="7627" width="7" style="77"/>
    <col min="7628" max="7628" width="9.59765625" style="77" customWidth="1"/>
    <col min="7629" max="7629" width="7.3984375" style="77" customWidth="1"/>
    <col min="7630" max="7630" width="8" style="77" bestFit="1" customWidth="1"/>
    <col min="7631" max="7631" width="8.19921875" style="77" customWidth="1"/>
    <col min="7632" max="7632" width="8.69921875" style="77" customWidth="1"/>
    <col min="7633" max="7633" width="8" style="77" bestFit="1" customWidth="1"/>
    <col min="7634" max="7634" width="9" style="77" customWidth="1"/>
    <col min="7635" max="7635" width="8.19921875" style="77" customWidth="1"/>
    <col min="7636" max="7636" width="7.8984375" style="77" customWidth="1"/>
    <col min="7637" max="7883" width="7" style="77"/>
    <col min="7884" max="7884" width="9.59765625" style="77" customWidth="1"/>
    <col min="7885" max="7885" width="7.3984375" style="77" customWidth="1"/>
    <col min="7886" max="7886" width="8" style="77" bestFit="1" customWidth="1"/>
    <col min="7887" max="7887" width="8.19921875" style="77" customWidth="1"/>
    <col min="7888" max="7888" width="8.69921875" style="77" customWidth="1"/>
    <col min="7889" max="7889" width="8" style="77" bestFit="1" customWidth="1"/>
    <col min="7890" max="7890" width="9" style="77" customWidth="1"/>
    <col min="7891" max="7891" width="8.19921875" style="77" customWidth="1"/>
    <col min="7892" max="7892" width="7.8984375" style="77" customWidth="1"/>
    <col min="7893" max="8139" width="7" style="77"/>
    <col min="8140" max="8140" width="9.59765625" style="77" customWidth="1"/>
    <col min="8141" max="8141" width="7.3984375" style="77" customWidth="1"/>
    <col min="8142" max="8142" width="8" style="77" bestFit="1" customWidth="1"/>
    <col min="8143" max="8143" width="8.19921875" style="77" customWidth="1"/>
    <col min="8144" max="8144" width="8.69921875" style="77" customWidth="1"/>
    <col min="8145" max="8145" width="8" style="77" bestFit="1" customWidth="1"/>
    <col min="8146" max="8146" width="9" style="77" customWidth="1"/>
    <col min="8147" max="8147" width="8.19921875" style="77" customWidth="1"/>
    <col min="8148" max="8148" width="7.8984375" style="77" customWidth="1"/>
    <col min="8149" max="8395" width="7" style="77"/>
    <col min="8396" max="8396" width="9.59765625" style="77" customWidth="1"/>
    <col min="8397" max="8397" width="7.3984375" style="77" customWidth="1"/>
    <col min="8398" max="8398" width="8" style="77" bestFit="1" customWidth="1"/>
    <col min="8399" max="8399" width="8.19921875" style="77" customWidth="1"/>
    <col min="8400" max="8400" width="8.69921875" style="77" customWidth="1"/>
    <col min="8401" max="8401" width="8" style="77" bestFit="1" customWidth="1"/>
    <col min="8402" max="8402" width="9" style="77" customWidth="1"/>
    <col min="8403" max="8403" width="8.19921875" style="77" customWidth="1"/>
    <col min="8404" max="8404" width="7.8984375" style="77" customWidth="1"/>
    <col min="8405" max="8651" width="7" style="77"/>
    <col min="8652" max="8652" width="9.59765625" style="77" customWidth="1"/>
    <col min="8653" max="8653" width="7.3984375" style="77" customWidth="1"/>
    <col min="8654" max="8654" width="8" style="77" bestFit="1" customWidth="1"/>
    <col min="8655" max="8655" width="8.19921875" style="77" customWidth="1"/>
    <col min="8656" max="8656" width="8.69921875" style="77" customWidth="1"/>
    <col min="8657" max="8657" width="8" style="77" bestFit="1" customWidth="1"/>
    <col min="8658" max="8658" width="9" style="77" customWidth="1"/>
    <col min="8659" max="8659" width="8.19921875" style="77" customWidth="1"/>
    <col min="8660" max="8660" width="7.8984375" style="77" customWidth="1"/>
    <col min="8661" max="8907" width="7" style="77"/>
    <col min="8908" max="8908" width="9.59765625" style="77" customWidth="1"/>
    <col min="8909" max="8909" width="7.3984375" style="77" customWidth="1"/>
    <col min="8910" max="8910" width="8" style="77" bestFit="1" customWidth="1"/>
    <col min="8911" max="8911" width="8.19921875" style="77" customWidth="1"/>
    <col min="8912" max="8912" width="8.69921875" style="77" customWidth="1"/>
    <col min="8913" max="8913" width="8" style="77" bestFit="1" customWidth="1"/>
    <col min="8914" max="8914" width="9" style="77" customWidth="1"/>
    <col min="8915" max="8915" width="8.19921875" style="77" customWidth="1"/>
    <col min="8916" max="8916" width="7.8984375" style="77" customWidth="1"/>
    <col min="8917" max="9163" width="7" style="77"/>
    <col min="9164" max="9164" width="9.59765625" style="77" customWidth="1"/>
    <col min="9165" max="9165" width="7.3984375" style="77" customWidth="1"/>
    <col min="9166" max="9166" width="8" style="77" bestFit="1" customWidth="1"/>
    <col min="9167" max="9167" width="8.19921875" style="77" customWidth="1"/>
    <col min="9168" max="9168" width="8.69921875" style="77" customWidth="1"/>
    <col min="9169" max="9169" width="8" style="77" bestFit="1" customWidth="1"/>
    <col min="9170" max="9170" width="9" style="77" customWidth="1"/>
    <col min="9171" max="9171" width="8.19921875" style="77" customWidth="1"/>
    <col min="9172" max="9172" width="7.8984375" style="77" customWidth="1"/>
    <col min="9173" max="9419" width="7" style="77"/>
    <col min="9420" max="9420" width="9.59765625" style="77" customWidth="1"/>
    <col min="9421" max="9421" width="7.3984375" style="77" customWidth="1"/>
    <col min="9422" max="9422" width="8" style="77" bestFit="1" customWidth="1"/>
    <col min="9423" max="9423" width="8.19921875" style="77" customWidth="1"/>
    <col min="9424" max="9424" width="8.69921875" style="77" customWidth="1"/>
    <col min="9425" max="9425" width="8" style="77" bestFit="1" customWidth="1"/>
    <col min="9426" max="9426" width="9" style="77" customWidth="1"/>
    <col min="9427" max="9427" width="8.19921875" style="77" customWidth="1"/>
    <col min="9428" max="9428" width="7.8984375" style="77" customWidth="1"/>
    <col min="9429" max="9675" width="7" style="77"/>
    <col min="9676" max="9676" width="9.59765625" style="77" customWidth="1"/>
    <col min="9677" max="9677" width="7.3984375" style="77" customWidth="1"/>
    <col min="9678" max="9678" width="8" style="77" bestFit="1" customWidth="1"/>
    <col min="9679" max="9679" width="8.19921875" style="77" customWidth="1"/>
    <col min="9680" max="9680" width="8.69921875" style="77" customWidth="1"/>
    <col min="9681" max="9681" width="8" style="77" bestFit="1" customWidth="1"/>
    <col min="9682" max="9682" width="9" style="77" customWidth="1"/>
    <col min="9683" max="9683" width="8.19921875" style="77" customWidth="1"/>
    <col min="9684" max="9684" width="7.8984375" style="77" customWidth="1"/>
    <col min="9685" max="9931" width="7" style="77"/>
    <col min="9932" max="9932" width="9.59765625" style="77" customWidth="1"/>
    <col min="9933" max="9933" width="7.3984375" style="77" customWidth="1"/>
    <col min="9934" max="9934" width="8" style="77" bestFit="1" customWidth="1"/>
    <col min="9935" max="9935" width="8.19921875" style="77" customWidth="1"/>
    <col min="9936" max="9936" width="8.69921875" style="77" customWidth="1"/>
    <col min="9937" max="9937" width="8" style="77" bestFit="1" customWidth="1"/>
    <col min="9938" max="9938" width="9" style="77" customWidth="1"/>
    <col min="9939" max="9939" width="8.19921875" style="77" customWidth="1"/>
    <col min="9940" max="9940" width="7.8984375" style="77" customWidth="1"/>
    <col min="9941" max="10187" width="7" style="77"/>
    <col min="10188" max="10188" width="9.59765625" style="77" customWidth="1"/>
    <col min="10189" max="10189" width="7.3984375" style="77" customWidth="1"/>
    <col min="10190" max="10190" width="8" style="77" bestFit="1" customWidth="1"/>
    <col min="10191" max="10191" width="8.19921875" style="77" customWidth="1"/>
    <col min="10192" max="10192" width="8.69921875" style="77" customWidth="1"/>
    <col min="10193" max="10193" width="8" style="77" bestFit="1" customWidth="1"/>
    <col min="10194" max="10194" width="9" style="77" customWidth="1"/>
    <col min="10195" max="10195" width="8.19921875" style="77" customWidth="1"/>
    <col min="10196" max="10196" width="7.8984375" style="77" customWidth="1"/>
    <col min="10197" max="10443" width="7" style="77"/>
    <col min="10444" max="10444" width="9.59765625" style="77" customWidth="1"/>
    <col min="10445" max="10445" width="7.3984375" style="77" customWidth="1"/>
    <col min="10446" max="10446" width="8" style="77" bestFit="1" customWidth="1"/>
    <col min="10447" max="10447" width="8.19921875" style="77" customWidth="1"/>
    <col min="10448" max="10448" width="8.69921875" style="77" customWidth="1"/>
    <col min="10449" max="10449" width="8" style="77" bestFit="1" customWidth="1"/>
    <col min="10450" max="10450" width="9" style="77" customWidth="1"/>
    <col min="10451" max="10451" width="8.19921875" style="77" customWidth="1"/>
    <col min="10452" max="10452" width="7.8984375" style="77" customWidth="1"/>
    <col min="10453" max="10699" width="7" style="77"/>
    <col min="10700" max="10700" width="9.59765625" style="77" customWidth="1"/>
    <col min="10701" max="10701" width="7.3984375" style="77" customWidth="1"/>
    <col min="10702" max="10702" width="8" style="77" bestFit="1" customWidth="1"/>
    <col min="10703" max="10703" width="8.19921875" style="77" customWidth="1"/>
    <col min="10704" max="10704" width="8.69921875" style="77" customWidth="1"/>
    <col min="10705" max="10705" width="8" style="77" bestFit="1" customWidth="1"/>
    <col min="10706" max="10706" width="9" style="77" customWidth="1"/>
    <col min="10707" max="10707" width="8.19921875" style="77" customWidth="1"/>
    <col min="10708" max="10708" width="7.8984375" style="77" customWidth="1"/>
    <col min="10709" max="10955" width="7" style="77"/>
    <col min="10956" max="10956" width="9.59765625" style="77" customWidth="1"/>
    <col min="10957" max="10957" width="7.3984375" style="77" customWidth="1"/>
    <col min="10958" max="10958" width="8" style="77" bestFit="1" customWidth="1"/>
    <col min="10959" max="10959" width="8.19921875" style="77" customWidth="1"/>
    <col min="10960" max="10960" width="8.69921875" style="77" customWidth="1"/>
    <col min="10961" max="10961" width="8" style="77" bestFit="1" customWidth="1"/>
    <col min="10962" max="10962" width="9" style="77" customWidth="1"/>
    <col min="10963" max="10963" width="8.19921875" style="77" customWidth="1"/>
    <col min="10964" max="10964" width="7.8984375" style="77" customWidth="1"/>
    <col min="10965" max="11211" width="7" style="77"/>
    <col min="11212" max="11212" width="9.59765625" style="77" customWidth="1"/>
    <col min="11213" max="11213" width="7.3984375" style="77" customWidth="1"/>
    <col min="11214" max="11214" width="8" style="77" bestFit="1" customWidth="1"/>
    <col min="11215" max="11215" width="8.19921875" style="77" customWidth="1"/>
    <col min="11216" max="11216" width="8.69921875" style="77" customWidth="1"/>
    <col min="11217" max="11217" width="8" style="77" bestFit="1" customWidth="1"/>
    <col min="11218" max="11218" width="9" style="77" customWidth="1"/>
    <col min="11219" max="11219" width="8.19921875" style="77" customWidth="1"/>
    <col min="11220" max="11220" width="7.8984375" style="77" customWidth="1"/>
    <col min="11221" max="11467" width="7" style="77"/>
    <col min="11468" max="11468" width="9.59765625" style="77" customWidth="1"/>
    <col min="11469" max="11469" width="7.3984375" style="77" customWidth="1"/>
    <col min="11470" max="11470" width="8" style="77" bestFit="1" customWidth="1"/>
    <col min="11471" max="11471" width="8.19921875" style="77" customWidth="1"/>
    <col min="11472" max="11472" width="8.69921875" style="77" customWidth="1"/>
    <col min="11473" max="11473" width="8" style="77" bestFit="1" customWidth="1"/>
    <col min="11474" max="11474" width="9" style="77" customWidth="1"/>
    <col min="11475" max="11475" width="8.19921875" style="77" customWidth="1"/>
    <col min="11476" max="11476" width="7.8984375" style="77" customWidth="1"/>
    <col min="11477" max="11723" width="7" style="77"/>
    <col min="11724" max="11724" width="9.59765625" style="77" customWidth="1"/>
    <col min="11725" max="11725" width="7.3984375" style="77" customWidth="1"/>
    <col min="11726" max="11726" width="8" style="77" bestFit="1" customWidth="1"/>
    <col min="11727" max="11727" width="8.19921875" style="77" customWidth="1"/>
    <col min="11728" max="11728" width="8.69921875" style="77" customWidth="1"/>
    <col min="11729" max="11729" width="8" style="77" bestFit="1" customWidth="1"/>
    <col min="11730" max="11730" width="9" style="77" customWidth="1"/>
    <col min="11731" max="11731" width="8.19921875" style="77" customWidth="1"/>
    <col min="11732" max="11732" width="7.8984375" style="77" customWidth="1"/>
    <col min="11733" max="11979" width="7" style="77"/>
    <col min="11980" max="11980" width="9.59765625" style="77" customWidth="1"/>
    <col min="11981" max="11981" width="7.3984375" style="77" customWidth="1"/>
    <col min="11982" max="11982" width="8" style="77" bestFit="1" customWidth="1"/>
    <col min="11983" max="11983" width="8.19921875" style="77" customWidth="1"/>
    <col min="11984" max="11984" width="8.69921875" style="77" customWidth="1"/>
    <col min="11985" max="11985" width="8" style="77" bestFit="1" customWidth="1"/>
    <col min="11986" max="11986" width="9" style="77" customWidth="1"/>
    <col min="11987" max="11987" width="8.19921875" style="77" customWidth="1"/>
    <col min="11988" max="11988" width="7.8984375" style="77" customWidth="1"/>
    <col min="11989" max="12235" width="7" style="77"/>
    <col min="12236" max="12236" width="9.59765625" style="77" customWidth="1"/>
    <col min="12237" max="12237" width="7.3984375" style="77" customWidth="1"/>
    <col min="12238" max="12238" width="8" style="77" bestFit="1" customWidth="1"/>
    <col min="12239" max="12239" width="8.19921875" style="77" customWidth="1"/>
    <col min="12240" max="12240" width="8.69921875" style="77" customWidth="1"/>
    <col min="12241" max="12241" width="8" style="77" bestFit="1" customWidth="1"/>
    <col min="12242" max="12242" width="9" style="77" customWidth="1"/>
    <col min="12243" max="12243" width="8.19921875" style="77" customWidth="1"/>
    <col min="12244" max="12244" width="7.8984375" style="77" customWidth="1"/>
    <col min="12245" max="12491" width="7" style="77"/>
    <col min="12492" max="12492" width="9.59765625" style="77" customWidth="1"/>
    <col min="12493" max="12493" width="7.3984375" style="77" customWidth="1"/>
    <col min="12494" max="12494" width="8" style="77" bestFit="1" customWidth="1"/>
    <col min="12495" max="12495" width="8.19921875" style="77" customWidth="1"/>
    <col min="12496" max="12496" width="8.69921875" style="77" customWidth="1"/>
    <col min="12497" max="12497" width="8" style="77" bestFit="1" customWidth="1"/>
    <col min="12498" max="12498" width="9" style="77" customWidth="1"/>
    <col min="12499" max="12499" width="8.19921875" style="77" customWidth="1"/>
    <col min="12500" max="12500" width="7.8984375" style="77" customWidth="1"/>
    <col min="12501" max="12747" width="7" style="77"/>
    <col min="12748" max="12748" width="9.59765625" style="77" customWidth="1"/>
    <col min="12749" max="12749" width="7.3984375" style="77" customWidth="1"/>
    <col min="12750" max="12750" width="8" style="77" bestFit="1" customWidth="1"/>
    <col min="12751" max="12751" width="8.19921875" style="77" customWidth="1"/>
    <col min="12752" max="12752" width="8.69921875" style="77" customWidth="1"/>
    <col min="12753" max="12753" width="8" style="77" bestFit="1" customWidth="1"/>
    <col min="12754" max="12754" width="9" style="77" customWidth="1"/>
    <col min="12755" max="12755" width="8.19921875" style="77" customWidth="1"/>
    <col min="12756" max="12756" width="7.8984375" style="77" customWidth="1"/>
    <col min="12757" max="13003" width="7" style="77"/>
    <col min="13004" max="13004" width="9.59765625" style="77" customWidth="1"/>
    <col min="13005" max="13005" width="7.3984375" style="77" customWidth="1"/>
    <col min="13006" max="13006" width="8" style="77" bestFit="1" customWidth="1"/>
    <col min="13007" max="13007" width="8.19921875" style="77" customWidth="1"/>
    <col min="13008" max="13008" width="8.69921875" style="77" customWidth="1"/>
    <col min="13009" max="13009" width="8" style="77" bestFit="1" customWidth="1"/>
    <col min="13010" max="13010" width="9" style="77" customWidth="1"/>
    <col min="13011" max="13011" width="8.19921875" style="77" customWidth="1"/>
    <col min="13012" max="13012" width="7.8984375" style="77" customWidth="1"/>
    <col min="13013" max="13259" width="7" style="77"/>
    <col min="13260" max="13260" width="9.59765625" style="77" customWidth="1"/>
    <col min="13261" max="13261" width="7.3984375" style="77" customWidth="1"/>
    <col min="13262" max="13262" width="8" style="77" bestFit="1" customWidth="1"/>
    <col min="13263" max="13263" width="8.19921875" style="77" customWidth="1"/>
    <col min="13264" max="13264" width="8.69921875" style="77" customWidth="1"/>
    <col min="13265" max="13265" width="8" style="77" bestFit="1" customWidth="1"/>
    <col min="13266" max="13266" width="9" style="77" customWidth="1"/>
    <col min="13267" max="13267" width="8.19921875" style="77" customWidth="1"/>
    <col min="13268" max="13268" width="7.8984375" style="77" customWidth="1"/>
    <col min="13269" max="13515" width="7" style="77"/>
    <col min="13516" max="13516" width="9.59765625" style="77" customWidth="1"/>
    <col min="13517" max="13517" width="7.3984375" style="77" customWidth="1"/>
    <col min="13518" max="13518" width="8" style="77" bestFit="1" customWidth="1"/>
    <col min="13519" max="13519" width="8.19921875" style="77" customWidth="1"/>
    <col min="13520" max="13520" width="8.69921875" style="77" customWidth="1"/>
    <col min="13521" max="13521" width="8" style="77" bestFit="1" customWidth="1"/>
    <col min="13522" max="13522" width="9" style="77" customWidth="1"/>
    <col min="13523" max="13523" width="8.19921875" style="77" customWidth="1"/>
    <col min="13524" max="13524" width="7.8984375" style="77" customWidth="1"/>
    <col min="13525" max="13771" width="7" style="77"/>
    <col min="13772" max="13772" width="9.59765625" style="77" customWidth="1"/>
    <col min="13773" max="13773" width="7.3984375" style="77" customWidth="1"/>
    <col min="13774" max="13774" width="8" style="77" bestFit="1" customWidth="1"/>
    <col min="13775" max="13775" width="8.19921875" style="77" customWidth="1"/>
    <col min="13776" max="13776" width="8.69921875" style="77" customWidth="1"/>
    <col min="13777" max="13777" width="8" style="77" bestFit="1" customWidth="1"/>
    <col min="13778" max="13778" width="9" style="77" customWidth="1"/>
    <col min="13779" max="13779" width="8.19921875" style="77" customWidth="1"/>
    <col min="13780" max="13780" width="7.8984375" style="77" customWidth="1"/>
    <col min="13781" max="14027" width="7" style="77"/>
    <col min="14028" max="14028" width="9.59765625" style="77" customWidth="1"/>
    <col min="14029" max="14029" width="7.3984375" style="77" customWidth="1"/>
    <col min="14030" max="14030" width="8" style="77" bestFit="1" customWidth="1"/>
    <col min="14031" max="14031" width="8.19921875" style="77" customWidth="1"/>
    <col min="14032" max="14032" width="8.69921875" style="77" customWidth="1"/>
    <col min="14033" max="14033" width="8" style="77" bestFit="1" customWidth="1"/>
    <col min="14034" max="14034" width="9" style="77" customWidth="1"/>
    <col min="14035" max="14035" width="8.19921875" style="77" customWidth="1"/>
    <col min="14036" max="14036" width="7.8984375" style="77" customWidth="1"/>
    <col min="14037" max="14283" width="7" style="77"/>
    <col min="14284" max="14284" width="9.59765625" style="77" customWidth="1"/>
    <col min="14285" max="14285" width="7.3984375" style="77" customWidth="1"/>
    <col min="14286" max="14286" width="8" style="77" bestFit="1" customWidth="1"/>
    <col min="14287" max="14287" width="8.19921875" style="77" customWidth="1"/>
    <col min="14288" max="14288" width="8.69921875" style="77" customWidth="1"/>
    <col min="14289" max="14289" width="8" style="77" bestFit="1" customWidth="1"/>
    <col min="14290" max="14290" width="9" style="77" customWidth="1"/>
    <col min="14291" max="14291" width="8.19921875" style="77" customWidth="1"/>
    <col min="14292" max="14292" width="7.8984375" style="77" customWidth="1"/>
    <col min="14293" max="14539" width="7" style="77"/>
    <col min="14540" max="14540" width="9.59765625" style="77" customWidth="1"/>
    <col min="14541" max="14541" width="7.3984375" style="77" customWidth="1"/>
    <col min="14542" max="14542" width="8" style="77" bestFit="1" customWidth="1"/>
    <col min="14543" max="14543" width="8.19921875" style="77" customWidth="1"/>
    <col min="14544" max="14544" width="8.69921875" style="77" customWidth="1"/>
    <col min="14545" max="14545" width="8" style="77" bestFit="1" customWidth="1"/>
    <col min="14546" max="14546" width="9" style="77" customWidth="1"/>
    <col min="14547" max="14547" width="8.19921875" style="77" customWidth="1"/>
    <col min="14548" max="14548" width="7.8984375" style="77" customWidth="1"/>
    <col min="14549" max="14795" width="7" style="77"/>
    <col min="14796" max="14796" width="9.59765625" style="77" customWidth="1"/>
    <col min="14797" max="14797" width="7.3984375" style="77" customWidth="1"/>
    <col min="14798" max="14798" width="8" style="77" bestFit="1" customWidth="1"/>
    <col min="14799" max="14799" width="8.19921875" style="77" customWidth="1"/>
    <col min="14800" max="14800" width="8.69921875" style="77" customWidth="1"/>
    <col min="14801" max="14801" width="8" style="77" bestFit="1" customWidth="1"/>
    <col min="14802" max="14802" width="9" style="77" customWidth="1"/>
    <col min="14803" max="14803" width="8.19921875" style="77" customWidth="1"/>
    <col min="14804" max="14804" width="7.8984375" style="77" customWidth="1"/>
    <col min="14805" max="15051" width="7" style="77"/>
    <col min="15052" max="15052" width="9.59765625" style="77" customWidth="1"/>
    <col min="15053" max="15053" width="7.3984375" style="77" customWidth="1"/>
    <col min="15054" max="15054" width="8" style="77" bestFit="1" customWidth="1"/>
    <col min="15055" max="15055" width="8.19921875" style="77" customWidth="1"/>
    <col min="15056" max="15056" width="8.69921875" style="77" customWidth="1"/>
    <col min="15057" max="15057" width="8" style="77" bestFit="1" customWidth="1"/>
    <col min="15058" max="15058" width="9" style="77" customWidth="1"/>
    <col min="15059" max="15059" width="8.19921875" style="77" customWidth="1"/>
    <col min="15060" max="15060" width="7.8984375" style="77" customWidth="1"/>
    <col min="15061" max="15307" width="7" style="77"/>
    <col min="15308" max="15308" width="9.59765625" style="77" customWidth="1"/>
    <col min="15309" max="15309" width="7.3984375" style="77" customWidth="1"/>
    <col min="15310" max="15310" width="8" style="77" bestFit="1" customWidth="1"/>
    <col min="15311" max="15311" width="8.19921875" style="77" customWidth="1"/>
    <col min="15312" max="15312" width="8.69921875" style="77" customWidth="1"/>
    <col min="15313" max="15313" width="8" style="77" bestFit="1" customWidth="1"/>
    <col min="15314" max="15314" width="9" style="77" customWidth="1"/>
    <col min="15315" max="15315" width="8.19921875" style="77" customWidth="1"/>
    <col min="15316" max="15316" width="7.8984375" style="77" customWidth="1"/>
    <col min="15317" max="15563" width="7" style="77"/>
    <col min="15564" max="15564" width="9.59765625" style="77" customWidth="1"/>
    <col min="15565" max="15565" width="7.3984375" style="77" customWidth="1"/>
    <col min="15566" max="15566" width="8" style="77" bestFit="1" customWidth="1"/>
    <col min="15567" max="15567" width="8.19921875" style="77" customWidth="1"/>
    <col min="15568" max="15568" width="8.69921875" style="77" customWidth="1"/>
    <col min="15569" max="15569" width="8" style="77" bestFit="1" customWidth="1"/>
    <col min="15570" max="15570" width="9" style="77" customWidth="1"/>
    <col min="15571" max="15571" width="8.19921875" style="77" customWidth="1"/>
    <col min="15572" max="15572" width="7.8984375" style="77" customWidth="1"/>
    <col min="15573" max="15819" width="7" style="77"/>
    <col min="15820" max="15820" width="9.59765625" style="77" customWidth="1"/>
    <col min="15821" max="15821" width="7.3984375" style="77" customWidth="1"/>
    <col min="15822" max="15822" width="8" style="77" bestFit="1" customWidth="1"/>
    <col min="15823" max="15823" width="8.19921875" style="77" customWidth="1"/>
    <col min="15824" max="15824" width="8.69921875" style="77" customWidth="1"/>
    <col min="15825" max="15825" width="8" style="77" bestFit="1" customWidth="1"/>
    <col min="15826" max="15826" width="9" style="77" customWidth="1"/>
    <col min="15827" max="15827" width="8.19921875" style="77" customWidth="1"/>
    <col min="15828" max="15828" width="7.8984375" style="77" customWidth="1"/>
    <col min="15829" max="16075" width="7" style="77"/>
    <col min="16076" max="16076" width="9.59765625" style="77" customWidth="1"/>
    <col min="16077" max="16077" width="7.3984375" style="77" customWidth="1"/>
    <col min="16078" max="16078" width="8" style="77" bestFit="1" customWidth="1"/>
    <col min="16079" max="16079" width="8.19921875" style="77" customWidth="1"/>
    <col min="16080" max="16080" width="8.69921875" style="77" customWidth="1"/>
    <col min="16081" max="16081" width="8" style="77" bestFit="1" customWidth="1"/>
    <col min="16082" max="16082" width="9" style="77" customWidth="1"/>
    <col min="16083" max="16083" width="8.19921875" style="77" customWidth="1"/>
    <col min="16084" max="16084" width="7.8984375" style="77" customWidth="1"/>
    <col min="16085" max="16384" width="7" style="77"/>
  </cols>
  <sheetData>
    <row r="1" spans="1:14" ht="24">
      <c r="A1" s="115" t="s">
        <v>318</v>
      </c>
    </row>
    <row r="2" spans="1:14">
      <c r="C2" s="77" t="s">
        <v>77</v>
      </c>
      <c r="D2" s="78" t="s">
        <v>319</v>
      </c>
      <c r="E2" s="79" t="s">
        <v>78</v>
      </c>
      <c r="F2" s="79" t="s">
        <v>79</v>
      </c>
      <c r="G2" s="79" t="s">
        <v>80</v>
      </c>
      <c r="H2" s="79" t="s">
        <v>81</v>
      </c>
      <c r="I2" s="79" t="s">
        <v>82</v>
      </c>
      <c r="J2" s="79" t="s">
        <v>83</v>
      </c>
      <c r="K2" s="79" t="s">
        <v>84</v>
      </c>
      <c r="L2" s="79" t="s">
        <v>85</v>
      </c>
      <c r="M2" s="79" t="s">
        <v>86</v>
      </c>
      <c r="N2" s="79" t="s">
        <v>87</v>
      </c>
    </row>
    <row r="3" spans="1:14" s="80" customFormat="1" ht="13.5">
      <c r="A3" s="189"/>
      <c r="B3" s="190" t="s">
        <v>42</v>
      </c>
      <c r="C3" s="243">
        <v>15</v>
      </c>
      <c r="D3" s="331">
        <f>+③調達品!H105</f>
        <v>7000000</v>
      </c>
      <c r="E3" s="81">
        <f>ROUND(D3*0.9/C3*$E$21,0)</f>
        <v>420000</v>
      </c>
      <c r="F3" s="81">
        <f>ROUND(D3*0.9/$C$3,0)</f>
        <v>420000</v>
      </c>
      <c r="G3" s="81">
        <f>IF(F3&gt;F4,F4,F3)</f>
        <v>420000</v>
      </c>
      <c r="H3" s="81">
        <f>IF(G3&gt;G4,G4,G3)</f>
        <v>420000</v>
      </c>
      <c r="I3" s="81">
        <f t="shared" ref="I3:N3" si="0">IF(H3&gt;H4,H4,H3)</f>
        <v>420000</v>
      </c>
      <c r="J3" s="81">
        <f t="shared" si="0"/>
        <v>420000</v>
      </c>
      <c r="K3" s="81">
        <f t="shared" si="0"/>
        <v>420000</v>
      </c>
      <c r="L3" s="81">
        <f t="shared" si="0"/>
        <v>420000</v>
      </c>
      <c r="M3" s="81">
        <f t="shared" si="0"/>
        <v>420000</v>
      </c>
      <c r="N3" s="81">
        <f t="shared" si="0"/>
        <v>420000</v>
      </c>
    </row>
    <row r="4" spans="1:14" s="80" customFormat="1" ht="13.5">
      <c r="A4" s="191"/>
      <c r="B4" s="192"/>
      <c r="C4" s="207"/>
      <c r="D4" s="82"/>
      <c r="E4" s="83">
        <f>+D3-E3</f>
        <v>6580000</v>
      </c>
      <c r="F4" s="83">
        <f>+E4-F3</f>
        <v>6160000</v>
      </c>
      <c r="G4" s="83">
        <f>+F4-G3</f>
        <v>5740000</v>
      </c>
      <c r="H4" s="83">
        <f t="shared" ref="H4:N4" si="1">+G4-H3</f>
        <v>5320000</v>
      </c>
      <c r="I4" s="83">
        <f t="shared" si="1"/>
        <v>4900000</v>
      </c>
      <c r="J4" s="83">
        <f t="shared" si="1"/>
        <v>4480000</v>
      </c>
      <c r="K4" s="83">
        <f t="shared" si="1"/>
        <v>4060000</v>
      </c>
      <c r="L4" s="83">
        <f t="shared" si="1"/>
        <v>3640000</v>
      </c>
      <c r="M4" s="83">
        <f t="shared" si="1"/>
        <v>3220000</v>
      </c>
      <c r="N4" s="83">
        <f t="shared" si="1"/>
        <v>2800000</v>
      </c>
    </row>
    <row r="5" spans="1:14" ht="13.5">
      <c r="A5" s="193"/>
      <c r="B5" s="194" t="s">
        <v>43</v>
      </c>
      <c r="C5" s="243">
        <v>15</v>
      </c>
      <c r="D5" s="331">
        <f>+③調達品!H106</f>
        <v>800000</v>
      </c>
      <c r="E5" s="84">
        <f>ROUND(D5*0.9/C5*$E$21,0)</f>
        <v>48000</v>
      </c>
      <c r="F5" s="84">
        <f>ROUND(D5*0.9/$C$5,0)</f>
        <v>48000</v>
      </c>
      <c r="G5" s="84">
        <f>IF(F5&gt;F6,F6,F5)</f>
        <v>48000</v>
      </c>
      <c r="H5" s="84">
        <f t="shared" ref="H5:N5" si="2">IF(G5&gt;G6,G6,G5)</f>
        <v>48000</v>
      </c>
      <c r="I5" s="84">
        <f t="shared" si="2"/>
        <v>48000</v>
      </c>
      <c r="J5" s="84">
        <f t="shared" si="2"/>
        <v>48000</v>
      </c>
      <c r="K5" s="84">
        <f t="shared" si="2"/>
        <v>48000</v>
      </c>
      <c r="L5" s="84">
        <f t="shared" si="2"/>
        <v>48000</v>
      </c>
      <c r="M5" s="84">
        <f t="shared" si="2"/>
        <v>48000</v>
      </c>
      <c r="N5" s="84">
        <f t="shared" si="2"/>
        <v>48000</v>
      </c>
    </row>
    <row r="6" spans="1:14">
      <c r="A6" s="195"/>
      <c r="C6" s="208"/>
      <c r="D6" s="85"/>
      <c r="E6" s="86">
        <f>+D5-E5</f>
        <v>752000</v>
      </c>
      <c r="F6" s="86">
        <f>+E6-F5</f>
        <v>704000</v>
      </c>
      <c r="G6" s="86">
        <f>+F6-G5</f>
        <v>656000</v>
      </c>
      <c r="H6" s="86">
        <f t="shared" ref="H6:N6" si="3">+G6-H5</f>
        <v>608000</v>
      </c>
      <c r="I6" s="86">
        <f t="shared" si="3"/>
        <v>560000</v>
      </c>
      <c r="J6" s="86">
        <f t="shared" si="3"/>
        <v>512000</v>
      </c>
      <c r="K6" s="86">
        <f t="shared" si="3"/>
        <v>464000</v>
      </c>
      <c r="L6" s="86">
        <f t="shared" si="3"/>
        <v>416000</v>
      </c>
      <c r="M6" s="86">
        <f t="shared" si="3"/>
        <v>368000</v>
      </c>
      <c r="N6" s="86">
        <f t="shared" si="3"/>
        <v>320000</v>
      </c>
    </row>
    <row r="7" spans="1:14" s="80" customFormat="1" ht="13.5">
      <c r="A7" s="189"/>
      <c r="B7" s="190" t="s">
        <v>154</v>
      </c>
      <c r="C7" s="243">
        <v>10</v>
      </c>
      <c r="D7" s="331">
        <f>+③調達品!H107</f>
        <v>500000</v>
      </c>
      <c r="E7" s="81">
        <f>ROUND(D7*0.9/C7*$E$21,0)</f>
        <v>45000</v>
      </c>
      <c r="F7" s="81">
        <f>ROUND(D7*0.9/$C$7,0)</f>
        <v>45000</v>
      </c>
      <c r="G7" s="81">
        <f>IF(F7&gt;F8,F8,F7)</f>
        <v>45000</v>
      </c>
      <c r="H7" s="81">
        <f t="shared" ref="H7:N7" si="4">IF(G7&gt;G8,G8,G7)</f>
        <v>45000</v>
      </c>
      <c r="I7" s="81">
        <f t="shared" si="4"/>
        <v>45000</v>
      </c>
      <c r="J7" s="81">
        <f t="shared" si="4"/>
        <v>45000</v>
      </c>
      <c r="K7" s="81">
        <f t="shared" si="4"/>
        <v>45000</v>
      </c>
      <c r="L7" s="81">
        <f t="shared" si="4"/>
        <v>45000</v>
      </c>
      <c r="M7" s="81">
        <f t="shared" si="4"/>
        <v>45000</v>
      </c>
      <c r="N7" s="81">
        <f t="shared" si="4"/>
        <v>45000</v>
      </c>
    </row>
    <row r="8" spans="1:14" s="80" customFormat="1" ht="13.5">
      <c r="A8" s="191"/>
      <c r="B8" s="192"/>
      <c r="C8" s="207"/>
      <c r="D8" s="82"/>
      <c r="E8" s="83">
        <f>+D7-E7</f>
        <v>455000</v>
      </c>
      <c r="F8" s="83">
        <f>+E8-F7</f>
        <v>410000</v>
      </c>
      <c r="G8" s="83">
        <f>+F8-G7</f>
        <v>365000</v>
      </c>
      <c r="H8" s="83">
        <f t="shared" ref="H8" si="5">+G8-H7</f>
        <v>320000</v>
      </c>
      <c r="I8" s="83">
        <f t="shared" ref="I8:N8" si="6">+H8-I7</f>
        <v>275000</v>
      </c>
      <c r="J8" s="83">
        <f t="shared" si="6"/>
        <v>230000</v>
      </c>
      <c r="K8" s="83">
        <f t="shared" si="6"/>
        <v>185000</v>
      </c>
      <c r="L8" s="83">
        <f t="shared" si="6"/>
        <v>140000</v>
      </c>
      <c r="M8" s="83">
        <f t="shared" si="6"/>
        <v>95000</v>
      </c>
      <c r="N8" s="83">
        <f t="shared" si="6"/>
        <v>50000</v>
      </c>
    </row>
    <row r="9" spans="1:14" ht="13.5">
      <c r="A9" s="195"/>
      <c r="B9" s="77" t="s">
        <v>88</v>
      </c>
      <c r="C9" s="244">
        <v>7</v>
      </c>
      <c r="D9" s="331">
        <f>+③調達品!H109</f>
        <v>540000</v>
      </c>
      <c r="E9" s="84">
        <f>ROUND(D9*0.9/C9*$E$21,0)</f>
        <v>69429</v>
      </c>
      <c r="F9" s="84">
        <f>ROUND(D9*0.9/$C$9,0)</f>
        <v>69429</v>
      </c>
      <c r="G9" s="84">
        <f>IF(F9&gt;F10,F10,F9)</f>
        <v>69429</v>
      </c>
      <c r="H9" s="84">
        <f t="shared" ref="H9:N9" si="7">IF(G9&gt;G10,G10,G9)</f>
        <v>69429</v>
      </c>
      <c r="I9" s="84">
        <f t="shared" si="7"/>
        <v>69429</v>
      </c>
      <c r="J9" s="84">
        <f t="shared" si="7"/>
        <v>69429</v>
      </c>
      <c r="K9" s="84">
        <f t="shared" si="7"/>
        <v>69429</v>
      </c>
      <c r="L9" s="84">
        <f t="shared" si="7"/>
        <v>53997</v>
      </c>
      <c r="M9" s="84">
        <f t="shared" si="7"/>
        <v>0</v>
      </c>
      <c r="N9" s="84">
        <f t="shared" si="7"/>
        <v>0</v>
      </c>
    </row>
    <row r="10" spans="1:14">
      <c r="A10" s="195"/>
      <c r="C10" s="208"/>
      <c r="D10" s="85"/>
      <c r="E10" s="86">
        <f>+D9-E9</f>
        <v>470571</v>
      </c>
      <c r="F10" s="86">
        <f>+E10-F9</f>
        <v>401142</v>
      </c>
      <c r="G10" s="86">
        <f>+F10-G9</f>
        <v>331713</v>
      </c>
      <c r="H10" s="86">
        <f t="shared" ref="H10:N10" si="8">+G10-H9</f>
        <v>262284</v>
      </c>
      <c r="I10" s="86">
        <f t="shared" si="8"/>
        <v>192855</v>
      </c>
      <c r="J10" s="86">
        <f t="shared" si="8"/>
        <v>123426</v>
      </c>
      <c r="K10" s="86">
        <f t="shared" si="8"/>
        <v>53997</v>
      </c>
      <c r="L10" s="86">
        <f t="shared" si="8"/>
        <v>0</v>
      </c>
      <c r="M10" s="86">
        <f t="shared" si="8"/>
        <v>0</v>
      </c>
      <c r="N10" s="86">
        <f t="shared" si="8"/>
        <v>0</v>
      </c>
    </row>
    <row r="11" spans="1:14" s="80" customFormat="1" ht="13.5">
      <c r="A11" s="189"/>
      <c r="B11" s="190" t="s">
        <v>89</v>
      </c>
      <c r="C11" s="243">
        <v>5</v>
      </c>
      <c r="D11" s="331">
        <f>+③調達品!H110</f>
        <v>1200000</v>
      </c>
      <c r="E11" s="81">
        <f>ROUND(D11*0.9/C11*$E$21,0)</f>
        <v>216000</v>
      </c>
      <c r="F11" s="81">
        <f>ROUND(D11*0.9/$C$11,0)</f>
        <v>216000</v>
      </c>
      <c r="G11" s="81">
        <f>IF(F11&gt;F12,F12,F11)</f>
        <v>216000</v>
      </c>
      <c r="H11" s="81">
        <f t="shared" ref="H11:N11" si="9">IF(G11&gt;G12,G12,G11)</f>
        <v>216000</v>
      </c>
      <c r="I11" s="81">
        <f t="shared" si="9"/>
        <v>216000</v>
      </c>
      <c r="J11" s="81">
        <f t="shared" si="9"/>
        <v>120000</v>
      </c>
      <c r="K11" s="81">
        <f t="shared" si="9"/>
        <v>0</v>
      </c>
      <c r="L11" s="81">
        <f t="shared" si="9"/>
        <v>0</v>
      </c>
      <c r="M11" s="81">
        <f t="shared" si="9"/>
        <v>0</v>
      </c>
      <c r="N11" s="81">
        <f t="shared" si="9"/>
        <v>0</v>
      </c>
    </row>
    <row r="12" spans="1:14" s="80" customFormat="1" ht="13.5">
      <c r="A12" s="191"/>
      <c r="B12" s="192"/>
      <c r="C12" s="207"/>
      <c r="D12" s="82"/>
      <c r="E12" s="83">
        <f>+D11-E11</f>
        <v>984000</v>
      </c>
      <c r="F12" s="83">
        <f>+E12-F11</f>
        <v>768000</v>
      </c>
      <c r="G12" s="83">
        <f>+F12-G11</f>
        <v>552000</v>
      </c>
      <c r="H12" s="83">
        <f t="shared" ref="H12" si="10">+G12-H11</f>
        <v>336000</v>
      </c>
      <c r="I12" s="83">
        <f t="shared" ref="I12:N12" si="11">+H12-I11</f>
        <v>120000</v>
      </c>
      <c r="J12" s="83">
        <f t="shared" si="11"/>
        <v>0</v>
      </c>
      <c r="K12" s="83">
        <f t="shared" si="11"/>
        <v>0</v>
      </c>
      <c r="L12" s="83">
        <f t="shared" si="11"/>
        <v>0</v>
      </c>
      <c r="M12" s="83">
        <f t="shared" si="11"/>
        <v>0</v>
      </c>
      <c r="N12" s="83">
        <f t="shared" si="11"/>
        <v>0</v>
      </c>
    </row>
    <row r="13" spans="1:14" ht="13.5">
      <c r="A13" s="195"/>
      <c r="B13" s="77" t="s">
        <v>44</v>
      </c>
      <c r="C13" s="256">
        <v>5</v>
      </c>
      <c r="D13" s="331">
        <f>+③調達品!H111</f>
        <v>1367500</v>
      </c>
      <c r="E13" s="84">
        <f>ROUND($D$13/C13*$E$21,0)</f>
        <v>273500</v>
      </c>
      <c r="F13" s="84">
        <f>ROUND($D$13/$C$13,0)</f>
        <v>273500</v>
      </c>
      <c r="G13" s="84">
        <f>IF(F13&gt;F14,F14,F13)</f>
        <v>273500</v>
      </c>
      <c r="H13" s="84">
        <f t="shared" ref="H13" si="12">IF(G13&gt;G14,G14,G13)</f>
        <v>273500</v>
      </c>
      <c r="I13" s="84">
        <f t="shared" ref="I13" si="13">IF(H13&gt;H14,H14,H13)</f>
        <v>273500</v>
      </c>
      <c r="J13" s="84">
        <f t="shared" ref="J13" si="14">IF(I13&gt;I14,I14,I13)</f>
        <v>0</v>
      </c>
      <c r="K13" s="84">
        <f t="shared" ref="K13" si="15">IF(J13&gt;J14,J14,J13)</f>
        <v>0</v>
      </c>
      <c r="L13" s="84">
        <f t="shared" ref="L13" si="16">IF(K13&gt;K14,K14,K13)</f>
        <v>0</v>
      </c>
      <c r="M13" s="84">
        <f t="shared" ref="M13:N13" si="17">IF(L13&gt;L14,L14,L13)</f>
        <v>0</v>
      </c>
      <c r="N13" s="84">
        <f t="shared" si="17"/>
        <v>0</v>
      </c>
    </row>
    <row r="14" spans="1:14" ht="13.5" customHeight="1">
      <c r="A14" s="196"/>
      <c r="B14" s="197"/>
      <c r="C14" s="84"/>
      <c r="D14" s="87"/>
      <c r="E14" s="86">
        <f>+D13-E13</f>
        <v>1094000</v>
      </c>
      <c r="F14" s="86">
        <f>+E14-F13</f>
        <v>820500</v>
      </c>
      <c r="G14" s="86">
        <f>+F14-G13</f>
        <v>547000</v>
      </c>
      <c r="H14" s="86">
        <f t="shared" ref="H14" si="18">+G14-H13</f>
        <v>273500</v>
      </c>
      <c r="I14" s="86">
        <f t="shared" ref="I14" si="19">+H14-I13</f>
        <v>0</v>
      </c>
      <c r="J14" s="86">
        <f t="shared" ref="J14" si="20">+I14-J13</f>
        <v>0</v>
      </c>
      <c r="K14" s="86">
        <f t="shared" ref="K14" si="21">+J14-K13</f>
        <v>0</v>
      </c>
      <c r="L14" s="86">
        <f t="shared" ref="L14" si="22">+K14-L13</f>
        <v>0</v>
      </c>
      <c r="M14" s="86">
        <f t="shared" ref="M14" si="23">+L14-M13</f>
        <v>0</v>
      </c>
      <c r="N14" s="86">
        <f>+M14-M13</f>
        <v>0</v>
      </c>
    </row>
    <row r="15" spans="1:14" ht="13.5">
      <c r="B15" s="410" t="s">
        <v>90</v>
      </c>
      <c r="C15" s="410"/>
      <c r="D15" s="411"/>
      <c r="E15" s="411">
        <f t="shared" ref="E15:N15" si="24">+E3+E5+E7+E9+E11+E13</f>
        <v>1071929</v>
      </c>
      <c r="F15" s="411">
        <f t="shared" si="24"/>
        <v>1071929</v>
      </c>
      <c r="G15" s="411">
        <f t="shared" si="24"/>
        <v>1071929</v>
      </c>
      <c r="H15" s="411">
        <f t="shared" si="24"/>
        <v>1071929</v>
      </c>
      <c r="I15" s="411">
        <f t="shared" si="24"/>
        <v>1071929</v>
      </c>
      <c r="J15" s="411">
        <f t="shared" si="24"/>
        <v>702429</v>
      </c>
      <c r="K15" s="411">
        <f t="shared" si="24"/>
        <v>582429</v>
      </c>
      <c r="L15" s="411">
        <f t="shared" si="24"/>
        <v>566997</v>
      </c>
      <c r="M15" s="411">
        <f t="shared" si="24"/>
        <v>513000</v>
      </c>
      <c r="N15" s="411">
        <f t="shared" si="24"/>
        <v>513000</v>
      </c>
    </row>
    <row r="16" spans="1:14" ht="13.5">
      <c r="B16" s="410" t="s">
        <v>91</v>
      </c>
      <c r="C16" s="410"/>
      <c r="D16" s="411">
        <f>+D3+D5+D7+D9+D11+D13</f>
        <v>11407500</v>
      </c>
      <c r="E16" s="411">
        <f>+E4+E6+E8+E10+E12+E14</f>
        <v>10335571</v>
      </c>
      <c r="F16" s="411">
        <f t="shared" ref="F16:N16" si="25">+F4+F6+F8+F10+F12+F14</f>
        <v>9263642</v>
      </c>
      <c r="G16" s="411">
        <f t="shared" si="25"/>
        <v>8191713</v>
      </c>
      <c r="H16" s="411">
        <f t="shared" si="25"/>
        <v>7119784</v>
      </c>
      <c r="I16" s="411">
        <f t="shared" si="25"/>
        <v>6047855</v>
      </c>
      <c r="J16" s="411">
        <f t="shared" si="25"/>
        <v>5345426</v>
      </c>
      <c r="K16" s="411">
        <f t="shared" si="25"/>
        <v>4762997</v>
      </c>
      <c r="L16" s="411">
        <f t="shared" si="25"/>
        <v>4196000</v>
      </c>
      <c r="M16" s="411">
        <f t="shared" si="25"/>
        <v>3683000</v>
      </c>
      <c r="N16" s="411">
        <f t="shared" si="25"/>
        <v>3170000</v>
      </c>
    </row>
    <row r="19" spans="4:5" ht="14.25">
      <c r="D19" s="163" t="s">
        <v>92</v>
      </c>
      <c r="E19" s="86">
        <v>12</v>
      </c>
    </row>
    <row r="20" spans="4:5" ht="14.25">
      <c r="D20" s="163" t="s">
        <v>93</v>
      </c>
      <c r="E20" s="409">
        <f>+②経費の積算!F2</f>
        <v>12</v>
      </c>
    </row>
    <row r="21" spans="4:5" ht="14.25">
      <c r="D21" s="163" t="s">
        <v>94</v>
      </c>
      <c r="E21" s="84">
        <f>+E20/E19</f>
        <v>1</v>
      </c>
    </row>
  </sheetData>
  <phoneticPr fontId="3"/>
  <printOptions headings="1"/>
  <pageMargins left="0.70866141732283472" right="0.70866141732283472" top="0.74803149606299213" bottom="0.74803149606299213" header="0.31496062992125984" footer="0.31496062992125984"/>
  <pageSetup paperSize="8" scale="9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28" transitionEvaluation="1" codeName="Sheet8">
    <tabColor rgb="FFFFFF00"/>
    <pageSetUpPr fitToPage="1"/>
  </sheetPr>
  <dimension ref="A1:AY133"/>
  <sheetViews>
    <sheetView showGridLines="0" topLeftCell="A28" zoomScale="99" zoomScaleNormal="99" workbookViewId="0">
      <selection activeCell="I50" sqref="I50"/>
    </sheetView>
  </sheetViews>
  <sheetFormatPr defaultColWidth="10.5" defaultRowHeight="17.25"/>
  <cols>
    <col min="1" max="1" width="5.59765625" style="117" customWidth="1"/>
    <col min="2" max="2" width="11.5" style="117" bestFit="1" customWidth="1"/>
    <col min="3" max="3" width="10.69921875" style="117" customWidth="1"/>
    <col min="4" max="4" width="11.69921875" style="117" customWidth="1"/>
    <col min="5" max="5" width="11.69921875" style="117" bestFit="1" customWidth="1"/>
    <col min="6" max="6" width="12.69921875" style="117" bestFit="1" customWidth="1"/>
    <col min="7" max="7" width="5.19921875" style="117" bestFit="1" customWidth="1"/>
    <col min="8" max="8" width="14.69921875" style="117" customWidth="1"/>
    <col min="9" max="9" width="11.59765625" style="117" bestFit="1" customWidth="1"/>
    <col min="10" max="10" width="11.8984375" style="117" customWidth="1"/>
    <col min="11" max="11" width="10.5" style="117"/>
    <col min="12" max="12" width="5.59765625" style="117" customWidth="1"/>
    <col min="13" max="13" width="11.5" style="117" bestFit="1" customWidth="1"/>
    <col min="14" max="14" width="10.69921875" style="117" customWidth="1"/>
    <col min="15" max="15" width="11.69921875" style="117" customWidth="1"/>
    <col min="16" max="16" width="11.69921875" style="117" bestFit="1" customWidth="1"/>
    <col min="17" max="17" width="12.19921875" style="117" bestFit="1" customWidth="1"/>
    <col min="18" max="18" width="5.19921875" style="117" bestFit="1" customWidth="1"/>
    <col min="19" max="19" width="14.69921875" style="117" customWidth="1"/>
    <col min="20" max="20" width="10.5" style="117"/>
    <col min="21" max="21" width="11.8984375" style="117" customWidth="1"/>
    <col min="22" max="34" width="10.5" style="117"/>
    <col min="35" max="35" width="13.3984375" style="117" bestFit="1" customWidth="1"/>
    <col min="36" max="36" width="11.19921875" style="117" bestFit="1" customWidth="1"/>
    <col min="37" max="37" width="10.5" style="117"/>
    <col min="38" max="38" width="11.69921875" style="117" customWidth="1"/>
    <col min="39" max="39" width="11.19921875" style="117" bestFit="1" customWidth="1"/>
    <col min="40" max="190" width="10.5" style="117"/>
    <col min="191" max="191" width="5.59765625" style="117" customWidth="1"/>
    <col min="192" max="192" width="11.5" style="117" bestFit="1" customWidth="1"/>
    <col min="193" max="193" width="10.69921875" style="117" customWidth="1"/>
    <col min="194" max="194" width="11.69921875" style="117" customWidth="1"/>
    <col min="195" max="196" width="11.69921875" style="117" bestFit="1" customWidth="1"/>
    <col min="197" max="197" width="5.19921875" style="117" bestFit="1" customWidth="1"/>
    <col min="198" max="198" width="14.69921875" style="117" customWidth="1"/>
    <col min="199" max="201" width="10.5" style="117"/>
    <col min="202" max="202" width="5.59765625" style="117" customWidth="1"/>
    <col min="203" max="203" width="11.5" style="117" bestFit="1" customWidth="1"/>
    <col min="204" max="204" width="10.69921875" style="117" customWidth="1"/>
    <col min="205" max="205" width="11.69921875" style="117" customWidth="1"/>
    <col min="206" max="207" width="11.69921875" style="117" bestFit="1" customWidth="1"/>
    <col min="208" max="208" width="5.19921875" style="117" bestFit="1" customWidth="1"/>
    <col min="209" max="209" width="14.69921875" style="117" customWidth="1"/>
    <col min="210" max="446" width="10.5" style="117"/>
    <col min="447" max="447" width="5.59765625" style="117" customWidth="1"/>
    <col min="448" max="448" width="11.5" style="117" bestFit="1" customWidth="1"/>
    <col min="449" max="449" width="10.69921875" style="117" customWidth="1"/>
    <col min="450" max="450" width="11.69921875" style="117" customWidth="1"/>
    <col min="451" max="452" width="11.69921875" style="117" bestFit="1" customWidth="1"/>
    <col min="453" max="453" width="5.19921875" style="117" bestFit="1" customWidth="1"/>
    <col min="454" max="454" width="14.69921875" style="117" customWidth="1"/>
    <col min="455" max="457" width="10.5" style="117"/>
    <col min="458" max="458" width="5.59765625" style="117" customWidth="1"/>
    <col min="459" max="459" width="11.5" style="117" bestFit="1" customWidth="1"/>
    <col min="460" max="460" width="10.69921875" style="117" customWidth="1"/>
    <col min="461" max="461" width="11.69921875" style="117" customWidth="1"/>
    <col min="462" max="463" width="11.69921875" style="117" bestFit="1" customWidth="1"/>
    <col min="464" max="464" width="5.19921875" style="117" bestFit="1" customWidth="1"/>
    <col min="465" max="465" width="14.69921875" style="117" customWidth="1"/>
    <col min="466" max="702" width="10.5" style="117"/>
    <col min="703" max="703" width="5.59765625" style="117" customWidth="1"/>
    <col min="704" max="704" width="11.5" style="117" bestFit="1" customWidth="1"/>
    <col min="705" max="705" width="10.69921875" style="117" customWidth="1"/>
    <col min="706" max="706" width="11.69921875" style="117" customWidth="1"/>
    <col min="707" max="708" width="11.69921875" style="117" bestFit="1" customWidth="1"/>
    <col min="709" max="709" width="5.19921875" style="117" bestFit="1" customWidth="1"/>
    <col min="710" max="710" width="14.69921875" style="117" customWidth="1"/>
    <col min="711" max="713" width="10.5" style="117"/>
    <col min="714" max="714" width="5.59765625" style="117" customWidth="1"/>
    <col min="715" max="715" width="11.5" style="117" bestFit="1" customWidth="1"/>
    <col min="716" max="716" width="10.69921875" style="117" customWidth="1"/>
    <col min="717" max="717" width="11.69921875" style="117" customWidth="1"/>
    <col min="718" max="719" width="11.69921875" style="117" bestFit="1" customWidth="1"/>
    <col min="720" max="720" width="5.19921875" style="117" bestFit="1" customWidth="1"/>
    <col min="721" max="721" width="14.69921875" style="117" customWidth="1"/>
    <col min="722" max="958" width="10.5" style="117"/>
    <col min="959" max="959" width="5.59765625" style="117" customWidth="1"/>
    <col min="960" max="960" width="11.5" style="117" bestFit="1" customWidth="1"/>
    <col min="961" max="961" width="10.69921875" style="117" customWidth="1"/>
    <col min="962" max="962" width="11.69921875" style="117" customWidth="1"/>
    <col min="963" max="964" width="11.69921875" style="117" bestFit="1" customWidth="1"/>
    <col min="965" max="965" width="5.19921875" style="117" bestFit="1" customWidth="1"/>
    <col min="966" max="966" width="14.69921875" style="117" customWidth="1"/>
    <col min="967" max="969" width="10.5" style="117"/>
    <col min="970" max="970" width="5.59765625" style="117" customWidth="1"/>
    <col min="971" max="971" width="11.5" style="117" bestFit="1" customWidth="1"/>
    <col min="972" max="972" width="10.69921875" style="117" customWidth="1"/>
    <col min="973" max="973" width="11.69921875" style="117" customWidth="1"/>
    <col min="974" max="975" width="11.69921875" style="117" bestFit="1" customWidth="1"/>
    <col min="976" max="976" width="5.19921875" style="117" bestFit="1" customWidth="1"/>
    <col min="977" max="977" width="14.69921875" style="117" customWidth="1"/>
    <col min="978" max="1214" width="10.5" style="117"/>
    <col min="1215" max="1215" width="5.59765625" style="117" customWidth="1"/>
    <col min="1216" max="1216" width="11.5" style="117" bestFit="1" customWidth="1"/>
    <col min="1217" max="1217" width="10.69921875" style="117" customWidth="1"/>
    <col min="1218" max="1218" width="11.69921875" style="117" customWidth="1"/>
    <col min="1219" max="1220" width="11.69921875" style="117" bestFit="1" customWidth="1"/>
    <col min="1221" max="1221" width="5.19921875" style="117" bestFit="1" customWidth="1"/>
    <col min="1222" max="1222" width="14.69921875" style="117" customWidth="1"/>
    <col min="1223" max="1225" width="10.5" style="117"/>
    <col min="1226" max="1226" width="5.59765625" style="117" customWidth="1"/>
    <col min="1227" max="1227" width="11.5" style="117" bestFit="1" customWidth="1"/>
    <col min="1228" max="1228" width="10.69921875" style="117" customWidth="1"/>
    <col min="1229" max="1229" width="11.69921875" style="117" customWidth="1"/>
    <col min="1230" max="1231" width="11.69921875" style="117" bestFit="1" customWidth="1"/>
    <col min="1232" max="1232" width="5.19921875" style="117" bestFit="1" customWidth="1"/>
    <col min="1233" max="1233" width="14.69921875" style="117" customWidth="1"/>
    <col min="1234" max="1470" width="10.5" style="117"/>
    <col min="1471" max="1471" width="5.59765625" style="117" customWidth="1"/>
    <col min="1472" max="1472" width="11.5" style="117" bestFit="1" customWidth="1"/>
    <col min="1473" max="1473" width="10.69921875" style="117" customWidth="1"/>
    <col min="1474" max="1474" width="11.69921875" style="117" customWidth="1"/>
    <col min="1475" max="1476" width="11.69921875" style="117" bestFit="1" customWidth="1"/>
    <col min="1477" max="1477" width="5.19921875" style="117" bestFit="1" customWidth="1"/>
    <col min="1478" max="1478" width="14.69921875" style="117" customWidth="1"/>
    <col min="1479" max="1481" width="10.5" style="117"/>
    <col min="1482" max="1482" width="5.59765625" style="117" customWidth="1"/>
    <col min="1483" max="1483" width="11.5" style="117" bestFit="1" customWidth="1"/>
    <col min="1484" max="1484" width="10.69921875" style="117" customWidth="1"/>
    <col min="1485" max="1485" width="11.69921875" style="117" customWidth="1"/>
    <col min="1486" max="1487" width="11.69921875" style="117" bestFit="1" customWidth="1"/>
    <col min="1488" max="1488" width="5.19921875" style="117" bestFit="1" customWidth="1"/>
    <col min="1489" max="1489" width="14.69921875" style="117" customWidth="1"/>
    <col min="1490" max="1726" width="10.5" style="117"/>
    <col min="1727" max="1727" width="5.59765625" style="117" customWidth="1"/>
    <col min="1728" max="1728" width="11.5" style="117" bestFit="1" customWidth="1"/>
    <col min="1729" max="1729" width="10.69921875" style="117" customWidth="1"/>
    <col min="1730" max="1730" width="11.69921875" style="117" customWidth="1"/>
    <col min="1731" max="1732" width="11.69921875" style="117" bestFit="1" customWidth="1"/>
    <col min="1733" max="1733" width="5.19921875" style="117" bestFit="1" customWidth="1"/>
    <col min="1734" max="1734" width="14.69921875" style="117" customWidth="1"/>
    <col min="1735" max="1737" width="10.5" style="117"/>
    <col min="1738" max="1738" width="5.59765625" style="117" customWidth="1"/>
    <col min="1739" max="1739" width="11.5" style="117" bestFit="1" customWidth="1"/>
    <col min="1740" max="1740" width="10.69921875" style="117" customWidth="1"/>
    <col min="1741" max="1741" width="11.69921875" style="117" customWidth="1"/>
    <col min="1742" max="1743" width="11.69921875" style="117" bestFit="1" customWidth="1"/>
    <col min="1744" max="1744" width="5.19921875" style="117" bestFit="1" customWidth="1"/>
    <col min="1745" max="1745" width="14.69921875" style="117" customWidth="1"/>
    <col min="1746" max="1982" width="10.5" style="117"/>
    <col min="1983" max="1983" width="5.59765625" style="117" customWidth="1"/>
    <col min="1984" max="1984" width="11.5" style="117" bestFit="1" customWidth="1"/>
    <col min="1985" max="1985" width="10.69921875" style="117" customWidth="1"/>
    <col min="1986" max="1986" width="11.69921875" style="117" customWidth="1"/>
    <col min="1987" max="1988" width="11.69921875" style="117" bestFit="1" customWidth="1"/>
    <col min="1989" max="1989" width="5.19921875" style="117" bestFit="1" customWidth="1"/>
    <col min="1990" max="1990" width="14.69921875" style="117" customWidth="1"/>
    <col min="1991" max="1993" width="10.5" style="117"/>
    <col min="1994" max="1994" width="5.59765625" style="117" customWidth="1"/>
    <col min="1995" max="1995" width="11.5" style="117" bestFit="1" customWidth="1"/>
    <col min="1996" max="1996" width="10.69921875" style="117" customWidth="1"/>
    <col min="1997" max="1997" width="11.69921875" style="117" customWidth="1"/>
    <col min="1998" max="1999" width="11.69921875" style="117" bestFit="1" customWidth="1"/>
    <col min="2000" max="2000" width="5.19921875" style="117" bestFit="1" customWidth="1"/>
    <col min="2001" max="2001" width="14.69921875" style="117" customWidth="1"/>
    <col min="2002" max="2238" width="10.5" style="117"/>
    <col min="2239" max="2239" width="5.59765625" style="117" customWidth="1"/>
    <col min="2240" max="2240" width="11.5" style="117" bestFit="1" customWidth="1"/>
    <col min="2241" max="2241" width="10.69921875" style="117" customWidth="1"/>
    <col min="2242" max="2242" width="11.69921875" style="117" customWidth="1"/>
    <col min="2243" max="2244" width="11.69921875" style="117" bestFit="1" customWidth="1"/>
    <col min="2245" max="2245" width="5.19921875" style="117" bestFit="1" customWidth="1"/>
    <col min="2246" max="2246" width="14.69921875" style="117" customWidth="1"/>
    <col min="2247" max="2249" width="10.5" style="117"/>
    <col min="2250" max="2250" width="5.59765625" style="117" customWidth="1"/>
    <col min="2251" max="2251" width="11.5" style="117" bestFit="1" customWidth="1"/>
    <col min="2252" max="2252" width="10.69921875" style="117" customWidth="1"/>
    <col min="2253" max="2253" width="11.69921875" style="117" customWidth="1"/>
    <col min="2254" max="2255" width="11.69921875" style="117" bestFit="1" customWidth="1"/>
    <col min="2256" max="2256" width="5.19921875" style="117" bestFit="1" customWidth="1"/>
    <col min="2257" max="2257" width="14.69921875" style="117" customWidth="1"/>
    <col min="2258" max="2494" width="10.5" style="117"/>
    <col min="2495" max="2495" width="5.59765625" style="117" customWidth="1"/>
    <col min="2496" max="2496" width="11.5" style="117" bestFit="1" customWidth="1"/>
    <col min="2497" max="2497" width="10.69921875" style="117" customWidth="1"/>
    <col min="2498" max="2498" width="11.69921875" style="117" customWidth="1"/>
    <col min="2499" max="2500" width="11.69921875" style="117" bestFit="1" customWidth="1"/>
    <col min="2501" max="2501" width="5.19921875" style="117" bestFit="1" customWidth="1"/>
    <col min="2502" max="2502" width="14.69921875" style="117" customWidth="1"/>
    <col min="2503" max="2505" width="10.5" style="117"/>
    <col min="2506" max="2506" width="5.59765625" style="117" customWidth="1"/>
    <col min="2507" max="2507" width="11.5" style="117" bestFit="1" customWidth="1"/>
    <col min="2508" max="2508" width="10.69921875" style="117" customWidth="1"/>
    <col min="2509" max="2509" width="11.69921875" style="117" customWidth="1"/>
    <col min="2510" max="2511" width="11.69921875" style="117" bestFit="1" customWidth="1"/>
    <col min="2512" max="2512" width="5.19921875" style="117" bestFit="1" customWidth="1"/>
    <col min="2513" max="2513" width="14.69921875" style="117" customWidth="1"/>
    <col min="2514" max="2750" width="10.5" style="117"/>
    <col min="2751" max="2751" width="5.59765625" style="117" customWidth="1"/>
    <col min="2752" max="2752" width="11.5" style="117" bestFit="1" customWidth="1"/>
    <col min="2753" max="2753" width="10.69921875" style="117" customWidth="1"/>
    <col min="2754" max="2754" width="11.69921875" style="117" customWidth="1"/>
    <col min="2755" max="2756" width="11.69921875" style="117" bestFit="1" customWidth="1"/>
    <col min="2757" max="2757" width="5.19921875" style="117" bestFit="1" customWidth="1"/>
    <col min="2758" max="2758" width="14.69921875" style="117" customWidth="1"/>
    <col min="2759" max="2761" width="10.5" style="117"/>
    <col min="2762" max="2762" width="5.59765625" style="117" customWidth="1"/>
    <col min="2763" max="2763" width="11.5" style="117" bestFit="1" customWidth="1"/>
    <col min="2764" max="2764" width="10.69921875" style="117" customWidth="1"/>
    <col min="2765" max="2765" width="11.69921875" style="117" customWidth="1"/>
    <col min="2766" max="2767" width="11.69921875" style="117" bestFit="1" customWidth="1"/>
    <col min="2768" max="2768" width="5.19921875" style="117" bestFit="1" customWidth="1"/>
    <col min="2769" max="2769" width="14.69921875" style="117" customWidth="1"/>
    <col min="2770" max="3006" width="10.5" style="117"/>
    <col min="3007" max="3007" width="5.59765625" style="117" customWidth="1"/>
    <col min="3008" max="3008" width="11.5" style="117" bestFit="1" customWidth="1"/>
    <col min="3009" max="3009" width="10.69921875" style="117" customWidth="1"/>
    <col min="3010" max="3010" width="11.69921875" style="117" customWidth="1"/>
    <col min="3011" max="3012" width="11.69921875" style="117" bestFit="1" customWidth="1"/>
    <col min="3013" max="3013" width="5.19921875" style="117" bestFit="1" customWidth="1"/>
    <col min="3014" max="3014" width="14.69921875" style="117" customWidth="1"/>
    <col min="3015" max="3017" width="10.5" style="117"/>
    <col min="3018" max="3018" width="5.59765625" style="117" customWidth="1"/>
    <col min="3019" max="3019" width="11.5" style="117" bestFit="1" customWidth="1"/>
    <col min="3020" max="3020" width="10.69921875" style="117" customWidth="1"/>
    <col min="3021" max="3021" width="11.69921875" style="117" customWidth="1"/>
    <col min="3022" max="3023" width="11.69921875" style="117" bestFit="1" customWidth="1"/>
    <col min="3024" max="3024" width="5.19921875" style="117" bestFit="1" customWidth="1"/>
    <col min="3025" max="3025" width="14.69921875" style="117" customWidth="1"/>
    <col min="3026" max="3262" width="10.5" style="117"/>
    <col min="3263" max="3263" width="5.59765625" style="117" customWidth="1"/>
    <col min="3264" max="3264" width="11.5" style="117" bestFit="1" customWidth="1"/>
    <col min="3265" max="3265" width="10.69921875" style="117" customWidth="1"/>
    <col min="3266" max="3266" width="11.69921875" style="117" customWidth="1"/>
    <col min="3267" max="3268" width="11.69921875" style="117" bestFit="1" customWidth="1"/>
    <col min="3269" max="3269" width="5.19921875" style="117" bestFit="1" customWidth="1"/>
    <col min="3270" max="3270" width="14.69921875" style="117" customWidth="1"/>
    <col min="3271" max="3273" width="10.5" style="117"/>
    <col min="3274" max="3274" width="5.59765625" style="117" customWidth="1"/>
    <col min="3275" max="3275" width="11.5" style="117" bestFit="1" customWidth="1"/>
    <col min="3276" max="3276" width="10.69921875" style="117" customWidth="1"/>
    <col min="3277" max="3277" width="11.69921875" style="117" customWidth="1"/>
    <col min="3278" max="3279" width="11.69921875" style="117" bestFit="1" customWidth="1"/>
    <col min="3280" max="3280" width="5.19921875" style="117" bestFit="1" customWidth="1"/>
    <col min="3281" max="3281" width="14.69921875" style="117" customWidth="1"/>
    <col min="3282" max="3518" width="10.5" style="117"/>
    <col min="3519" max="3519" width="5.59765625" style="117" customWidth="1"/>
    <col min="3520" max="3520" width="11.5" style="117" bestFit="1" customWidth="1"/>
    <col min="3521" max="3521" width="10.69921875" style="117" customWidth="1"/>
    <col min="3522" max="3522" width="11.69921875" style="117" customWidth="1"/>
    <col min="3523" max="3524" width="11.69921875" style="117" bestFit="1" customWidth="1"/>
    <col min="3525" max="3525" width="5.19921875" style="117" bestFit="1" customWidth="1"/>
    <col min="3526" max="3526" width="14.69921875" style="117" customWidth="1"/>
    <col min="3527" max="3529" width="10.5" style="117"/>
    <col min="3530" max="3530" width="5.59765625" style="117" customWidth="1"/>
    <col min="3531" max="3531" width="11.5" style="117" bestFit="1" customWidth="1"/>
    <col min="3532" max="3532" width="10.69921875" style="117" customWidth="1"/>
    <col min="3533" max="3533" width="11.69921875" style="117" customWidth="1"/>
    <col min="3534" max="3535" width="11.69921875" style="117" bestFit="1" customWidth="1"/>
    <col min="3536" max="3536" width="5.19921875" style="117" bestFit="1" customWidth="1"/>
    <col min="3537" max="3537" width="14.69921875" style="117" customWidth="1"/>
    <col min="3538" max="3774" width="10.5" style="117"/>
    <col min="3775" max="3775" width="5.59765625" style="117" customWidth="1"/>
    <col min="3776" max="3776" width="11.5" style="117" bestFit="1" customWidth="1"/>
    <col min="3777" max="3777" width="10.69921875" style="117" customWidth="1"/>
    <col min="3778" max="3778" width="11.69921875" style="117" customWidth="1"/>
    <col min="3779" max="3780" width="11.69921875" style="117" bestFit="1" customWidth="1"/>
    <col min="3781" max="3781" width="5.19921875" style="117" bestFit="1" customWidth="1"/>
    <col min="3782" max="3782" width="14.69921875" style="117" customWidth="1"/>
    <col min="3783" max="3785" width="10.5" style="117"/>
    <col min="3786" max="3786" width="5.59765625" style="117" customWidth="1"/>
    <col min="3787" max="3787" width="11.5" style="117" bestFit="1" customWidth="1"/>
    <col min="3788" max="3788" width="10.69921875" style="117" customWidth="1"/>
    <col min="3789" max="3789" width="11.69921875" style="117" customWidth="1"/>
    <col min="3790" max="3791" width="11.69921875" style="117" bestFit="1" customWidth="1"/>
    <col min="3792" max="3792" width="5.19921875" style="117" bestFit="1" customWidth="1"/>
    <col min="3793" max="3793" width="14.69921875" style="117" customWidth="1"/>
    <col min="3794" max="4030" width="10.5" style="117"/>
    <col min="4031" max="4031" width="5.59765625" style="117" customWidth="1"/>
    <col min="4032" max="4032" width="11.5" style="117" bestFit="1" customWidth="1"/>
    <col min="4033" max="4033" width="10.69921875" style="117" customWidth="1"/>
    <col min="4034" max="4034" width="11.69921875" style="117" customWidth="1"/>
    <col min="4035" max="4036" width="11.69921875" style="117" bestFit="1" customWidth="1"/>
    <col min="4037" max="4037" width="5.19921875" style="117" bestFit="1" customWidth="1"/>
    <col min="4038" max="4038" width="14.69921875" style="117" customWidth="1"/>
    <col min="4039" max="4041" width="10.5" style="117"/>
    <col min="4042" max="4042" width="5.59765625" style="117" customWidth="1"/>
    <col min="4043" max="4043" width="11.5" style="117" bestFit="1" customWidth="1"/>
    <col min="4044" max="4044" width="10.69921875" style="117" customWidth="1"/>
    <col min="4045" max="4045" width="11.69921875" style="117" customWidth="1"/>
    <col min="4046" max="4047" width="11.69921875" style="117" bestFit="1" customWidth="1"/>
    <col min="4048" max="4048" width="5.19921875" style="117" bestFit="1" customWidth="1"/>
    <col min="4049" max="4049" width="14.69921875" style="117" customWidth="1"/>
    <col min="4050" max="4286" width="10.5" style="117"/>
    <col min="4287" max="4287" width="5.59765625" style="117" customWidth="1"/>
    <col min="4288" max="4288" width="11.5" style="117" bestFit="1" customWidth="1"/>
    <col min="4289" max="4289" width="10.69921875" style="117" customWidth="1"/>
    <col min="4290" max="4290" width="11.69921875" style="117" customWidth="1"/>
    <col min="4291" max="4292" width="11.69921875" style="117" bestFit="1" customWidth="1"/>
    <col min="4293" max="4293" width="5.19921875" style="117" bestFit="1" customWidth="1"/>
    <col min="4294" max="4294" width="14.69921875" style="117" customWidth="1"/>
    <col min="4295" max="4297" width="10.5" style="117"/>
    <col min="4298" max="4298" width="5.59765625" style="117" customWidth="1"/>
    <col min="4299" max="4299" width="11.5" style="117" bestFit="1" customWidth="1"/>
    <col min="4300" max="4300" width="10.69921875" style="117" customWidth="1"/>
    <col min="4301" max="4301" width="11.69921875" style="117" customWidth="1"/>
    <col min="4302" max="4303" width="11.69921875" style="117" bestFit="1" customWidth="1"/>
    <col min="4304" max="4304" width="5.19921875" style="117" bestFit="1" customWidth="1"/>
    <col min="4305" max="4305" width="14.69921875" style="117" customWidth="1"/>
    <col min="4306" max="4542" width="10.5" style="117"/>
    <col min="4543" max="4543" width="5.59765625" style="117" customWidth="1"/>
    <col min="4544" max="4544" width="11.5" style="117" bestFit="1" customWidth="1"/>
    <col min="4545" max="4545" width="10.69921875" style="117" customWidth="1"/>
    <col min="4546" max="4546" width="11.69921875" style="117" customWidth="1"/>
    <col min="4547" max="4548" width="11.69921875" style="117" bestFit="1" customWidth="1"/>
    <col min="4549" max="4549" width="5.19921875" style="117" bestFit="1" customWidth="1"/>
    <col min="4550" max="4550" width="14.69921875" style="117" customWidth="1"/>
    <col min="4551" max="4553" width="10.5" style="117"/>
    <col min="4554" max="4554" width="5.59765625" style="117" customWidth="1"/>
    <col min="4555" max="4555" width="11.5" style="117" bestFit="1" customWidth="1"/>
    <col min="4556" max="4556" width="10.69921875" style="117" customWidth="1"/>
    <col min="4557" max="4557" width="11.69921875" style="117" customWidth="1"/>
    <col min="4558" max="4559" width="11.69921875" style="117" bestFit="1" customWidth="1"/>
    <col min="4560" max="4560" width="5.19921875" style="117" bestFit="1" customWidth="1"/>
    <col min="4561" max="4561" width="14.69921875" style="117" customWidth="1"/>
    <col min="4562" max="4798" width="10.5" style="117"/>
    <col min="4799" max="4799" width="5.59765625" style="117" customWidth="1"/>
    <col min="4800" max="4800" width="11.5" style="117" bestFit="1" customWidth="1"/>
    <col min="4801" max="4801" width="10.69921875" style="117" customWidth="1"/>
    <col min="4802" max="4802" width="11.69921875" style="117" customWidth="1"/>
    <col min="4803" max="4804" width="11.69921875" style="117" bestFit="1" customWidth="1"/>
    <col min="4805" max="4805" width="5.19921875" style="117" bestFit="1" customWidth="1"/>
    <col min="4806" max="4806" width="14.69921875" style="117" customWidth="1"/>
    <col min="4807" max="4809" width="10.5" style="117"/>
    <col min="4810" max="4810" width="5.59765625" style="117" customWidth="1"/>
    <col min="4811" max="4811" width="11.5" style="117" bestFit="1" customWidth="1"/>
    <col min="4812" max="4812" width="10.69921875" style="117" customWidth="1"/>
    <col min="4813" max="4813" width="11.69921875" style="117" customWidth="1"/>
    <col min="4814" max="4815" width="11.69921875" style="117" bestFit="1" customWidth="1"/>
    <col min="4816" max="4816" width="5.19921875" style="117" bestFit="1" customWidth="1"/>
    <col min="4817" max="4817" width="14.69921875" style="117" customWidth="1"/>
    <col min="4818" max="5054" width="10.5" style="117"/>
    <col min="5055" max="5055" width="5.59765625" style="117" customWidth="1"/>
    <col min="5056" max="5056" width="11.5" style="117" bestFit="1" customWidth="1"/>
    <col min="5057" max="5057" width="10.69921875" style="117" customWidth="1"/>
    <col min="5058" max="5058" width="11.69921875" style="117" customWidth="1"/>
    <col min="5059" max="5060" width="11.69921875" style="117" bestFit="1" customWidth="1"/>
    <col min="5061" max="5061" width="5.19921875" style="117" bestFit="1" customWidth="1"/>
    <col min="5062" max="5062" width="14.69921875" style="117" customWidth="1"/>
    <col min="5063" max="5065" width="10.5" style="117"/>
    <col min="5066" max="5066" width="5.59765625" style="117" customWidth="1"/>
    <col min="5067" max="5067" width="11.5" style="117" bestFit="1" customWidth="1"/>
    <col min="5068" max="5068" width="10.69921875" style="117" customWidth="1"/>
    <col min="5069" max="5069" width="11.69921875" style="117" customWidth="1"/>
    <col min="5070" max="5071" width="11.69921875" style="117" bestFit="1" customWidth="1"/>
    <col min="5072" max="5072" width="5.19921875" style="117" bestFit="1" customWidth="1"/>
    <col min="5073" max="5073" width="14.69921875" style="117" customWidth="1"/>
    <col min="5074" max="5310" width="10.5" style="117"/>
    <col min="5311" max="5311" width="5.59765625" style="117" customWidth="1"/>
    <col min="5312" max="5312" width="11.5" style="117" bestFit="1" customWidth="1"/>
    <col min="5313" max="5313" width="10.69921875" style="117" customWidth="1"/>
    <col min="5314" max="5314" width="11.69921875" style="117" customWidth="1"/>
    <col min="5315" max="5316" width="11.69921875" style="117" bestFit="1" customWidth="1"/>
    <col min="5317" max="5317" width="5.19921875" style="117" bestFit="1" customWidth="1"/>
    <col min="5318" max="5318" width="14.69921875" style="117" customWidth="1"/>
    <col min="5319" max="5321" width="10.5" style="117"/>
    <col min="5322" max="5322" width="5.59765625" style="117" customWidth="1"/>
    <col min="5323" max="5323" width="11.5" style="117" bestFit="1" customWidth="1"/>
    <col min="5324" max="5324" width="10.69921875" style="117" customWidth="1"/>
    <col min="5325" max="5325" width="11.69921875" style="117" customWidth="1"/>
    <col min="5326" max="5327" width="11.69921875" style="117" bestFit="1" customWidth="1"/>
    <col min="5328" max="5328" width="5.19921875" style="117" bestFit="1" customWidth="1"/>
    <col min="5329" max="5329" width="14.69921875" style="117" customWidth="1"/>
    <col min="5330" max="5566" width="10.5" style="117"/>
    <col min="5567" max="5567" width="5.59765625" style="117" customWidth="1"/>
    <col min="5568" max="5568" width="11.5" style="117" bestFit="1" customWidth="1"/>
    <col min="5569" max="5569" width="10.69921875" style="117" customWidth="1"/>
    <col min="5570" max="5570" width="11.69921875" style="117" customWidth="1"/>
    <col min="5571" max="5572" width="11.69921875" style="117" bestFit="1" customWidth="1"/>
    <col min="5573" max="5573" width="5.19921875" style="117" bestFit="1" customWidth="1"/>
    <col min="5574" max="5574" width="14.69921875" style="117" customWidth="1"/>
    <col min="5575" max="5577" width="10.5" style="117"/>
    <col min="5578" max="5578" width="5.59765625" style="117" customWidth="1"/>
    <col min="5579" max="5579" width="11.5" style="117" bestFit="1" customWidth="1"/>
    <col min="5580" max="5580" width="10.69921875" style="117" customWidth="1"/>
    <col min="5581" max="5581" width="11.69921875" style="117" customWidth="1"/>
    <col min="5582" max="5583" width="11.69921875" style="117" bestFit="1" customWidth="1"/>
    <col min="5584" max="5584" width="5.19921875" style="117" bestFit="1" customWidth="1"/>
    <col min="5585" max="5585" width="14.69921875" style="117" customWidth="1"/>
    <col min="5586" max="5822" width="10.5" style="117"/>
    <col min="5823" max="5823" width="5.59765625" style="117" customWidth="1"/>
    <col min="5824" max="5824" width="11.5" style="117" bestFit="1" customWidth="1"/>
    <col min="5825" max="5825" width="10.69921875" style="117" customWidth="1"/>
    <col min="5826" max="5826" width="11.69921875" style="117" customWidth="1"/>
    <col min="5827" max="5828" width="11.69921875" style="117" bestFit="1" customWidth="1"/>
    <col min="5829" max="5829" width="5.19921875" style="117" bestFit="1" customWidth="1"/>
    <col min="5830" max="5830" width="14.69921875" style="117" customWidth="1"/>
    <col min="5831" max="5833" width="10.5" style="117"/>
    <col min="5834" max="5834" width="5.59765625" style="117" customWidth="1"/>
    <col min="5835" max="5835" width="11.5" style="117" bestFit="1" customWidth="1"/>
    <col min="5836" max="5836" width="10.69921875" style="117" customWidth="1"/>
    <col min="5837" max="5837" width="11.69921875" style="117" customWidth="1"/>
    <col min="5838" max="5839" width="11.69921875" style="117" bestFit="1" customWidth="1"/>
    <col min="5840" max="5840" width="5.19921875" style="117" bestFit="1" customWidth="1"/>
    <col min="5841" max="5841" width="14.69921875" style="117" customWidth="1"/>
    <col min="5842" max="6078" width="10.5" style="117"/>
    <col min="6079" max="6079" width="5.59765625" style="117" customWidth="1"/>
    <col min="6080" max="6080" width="11.5" style="117" bestFit="1" customWidth="1"/>
    <col min="6081" max="6081" width="10.69921875" style="117" customWidth="1"/>
    <col min="6082" max="6082" width="11.69921875" style="117" customWidth="1"/>
    <col min="6083" max="6084" width="11.69921875" style="117" bestFit="1" customWidth="1"/>
    <col min="6085" max="6085" width="5.19921875" style="117" bestFit="1" customWidth="1"/>
    <col min="6086" max="6086" width="14.69921875" style="117" customWidth="1"/>
    <col min="6087" max="6089" width="10.5" style="117"/>
    <col min="6090" max="6090" width="5.59765625" style="117" customWidth="1"/>
    <col min="6091" max="6091" width="11.5" style="117" bestFit="1" customWidth="1"/>
    <col min="6092" max="6092" width="10.69921875" style="117" customWidth="1"/>
    <col min="6093" max="6093" width="11.69921875" style="117" customWidth="1"/>
    <col min="6094" max="6095" width="11.69921875" style="117" bestFit="1" customWidth="1"/>
    <col min="6096" max="6096" width="5.19921875" style="117" bestFit="1" customWidth="1"/>
    <col min="6097" max="6097" width="14.69921875" style="117" customWidth="1"/>
    <col min="6098" max="6334" width="10.5" style="117"/>
    <col min="6335" max="6335" width="5.59765625" style="117" customWidth="1"/>
    <col min="6336" max="6336" width="11.5" style="117" bestFit="1" customWidth="1"/>
    <col min="6337" max="6337" width="10.69921875" style="117" customWidth="1"/>
    <col min="6338" max="6338" width="11.69921875" style="117" customWidth="1"/>
    <col min="6339" max="6340" width="11.69921875" style="117" bestFit="1" customWidth="1"/>
    <col min="6341" max="6341" width="5.19921875" style="117" bestFit="1" customWidth="1"/>
    <col min="6342" max="6342" width="14.69921875" style="117" customWidth="1"/>
    <col min="6343" max="6345" width="10.5" style="117"/>
    <col min="6346" max="6346" width="5.59765625" style="117" customWidth="1"/>
    <col min="6347" max="6347" width="11.5" style="117" bestFit="1" customWidth="1"/>
    <col min="6348" max="6348" width="10.69921875" style="117" customWidth="1"/>
    <col min="6349" max="6349" width="11.69921875" style="117" customWidth="1"/>
    <col min="6350" max="6351" width="11.69921875" style="117" bestFit="1" customWidth="1"/>
    <col min="6352" max="6352" width="5.19921875" style="117" bestFit="1" customWidth="1"/>
    <col min="6353" max="6353" width="14.69921875" style="117" customWidth="1"/>
    <col min="6354" max="6590" width="10.5" style="117"/>
    <col min="6591" max="6591" width="5.59765625" style="117" customWidth="1"/>
    <col min="6592" max="6592" width="11.5" style="117" bestFit="1" customWidth="1"/>
    <col min="6593" max="6593" width="10.69921875" style="117" customWidth="1"/>
    <col min="6594" max="6594" width="11.69921875" style="117" customWidth="1"/>
    <col min="6595" max="6596" width="11.69921875" style="117" bestFit="1" customWidth="1"/>
    <col min="6597" max="6597" width="5.19921875" style="117" bestFit="1" customWidth="1"/>
    <col min="6598" max="6598" width="14.69921875" style="117" customWidth="1"/>
    <col min="6599" max="6601" width="10.5" style="117"/>
    <col min="6602" max="6602" width="5.59765625" style="117" customWidth="1"/>
    <col min="6603" max="6603" width="11.5" style="117" bestFit="1" customWidth="1"/>
    <col min="6604" max="6604" width="10.69921875" style="117" customWidth="1"/>
    <col min="6605" max="6605" width="11.69921875" style="117" customWidth="1"/>
    <col min="6606" max="6607" width="11.69921875" style="117" bestFit="1" customWidth="1"/>
    <col min="6608" max="6608" width="5.19921875" style="117" bestFit="1" customWidth="1"/>
    <col min="6609" max="6609" width="14.69921875" style="117" customWidth="1"/>
    <col min="6610" max="6846" width="10.5" style="117"/>
    <col min="6847" max="6847" width="5.59765625" style="117" customWidth="1"/>
    <col min="6848" max="6848" width="11.5" style="117" bestFit="1" customWidth="1"/>
    <col min="6849" max="6849" width="10.69921875" style="117" customWidth="1"/>
    <col min="6850" max="6850" width="11.69921875" style="117" customWidth="1"/>
    <col min="6851" max="6852" width="11.69921875" style="117" bestFit="1" customWidth="1"/>
    <col min="6853" max="6853" width="5.19921875" style="117" bestFit="1" customWidth="1"/>
    <col min="6854" max="6854" width="14.69921875" style="117" customWidth="1"/>
    <col min="6855" max="6857" width="10.5" style="117"/>
    <col min="6858" max="6858" width="5.59765625" style="117" customWidth="1"/>
    <col min="6859" max="6859" width="11.5" style="117" bestFit="1" customWidth="1"/>
    <col min="6860" max="6860" width="10.69921875" style="117" customWidth="1"/>
    <col min="6861" max="6861" width="11.69921875" style="117" customWidth="1"/>
    <col min="6862" max="6863" width="11.69921875" style="117" bestFit="1" customWidth="1"/>
    <col min="6864" max="6864" width="5.19921875" style="117" bestFit="1" customWidth="1"/>
    <col min="6865" max="6865" width="14.69921875" style="117" customWidth="1"/>
    <col min="6866" max="7102" width="10.5" style="117"/>
    <col min="7103" max="7103" width="5.59765625" style="117" customWidth="1"/>
    <col min="7104" max="7104" width="11.5" style="117" bestFit="1" customWidth="1"/>
    <col min="7105" max="7105" width="10.69921875" style="117" customWidth="1"/>
    <col min="7106" max="7106" width="11.69921875" style="117" customWidth="1"/>
    <col min="7107" max="7108" width="11.69921875" style="117" bestFit="1" customWidth="1"/>
    <col min="7109" max="7109" width="5.19921875" style="117" bestFit="1" customWidth="1"/>
    <col min="7110" max="7110" width="14.69921875" style="117" customWidth="1"/>
    <col min="7111" max="7113" width="10.5" style="117"/>
    <col min="7114" max="7114" width="5.59765625" style="117" customWidth="1"/>
    <col min="7115" max="7115" width="11.5" style="117" bestFit="1" customWidth="1"/>
    <col min="7116" max="7116" width="10.69921875" style="117" customWidth="1"/>
    <col min="7117" max="7117" width="11.69921875" style="117" customWidth="1"/>
    <col min="7118" max="7119" width="11.69921875" style="117" bestFit="1" customWidth="1"/>
    <col min="7120" max="7120" width="5.19921875" style="117" bestFit="1" customWidth="1"/>
    <col min="7121" max="7121" width="14.69921875" style="117" customWidth="1"/>
    <col min="7122" max="7358" width="10.5" style="117"/>
    <col min="7359" max="7359" width="5.59765625" style="117" customWidth="1"/>
    <col min="7360" max="7360" width="11.5" style="117" bestFit="1" customWidth="1"/>
    <col min="7361" max="7361" width="10.69921875" style="117" customWidth="1"/>
    <col min="7362" max="7362" width="11.69921875" style="117" customWidth="1"/>
    <col min="7363" max="7364" width="11.69921875" style="117" bestFit="1" customWidth="1"/>
    <col min="7365" max="7365" width="5.19921875" style="117" bestFit="1" customWidth="1"/>
    <col min="7366" max="7366" width="14.69921875" style="117" customWidth="1"/>
    <col min="7367" max="7369" width="10.5" style="117"/>
    <col min="7370" max="7370" width="5.59765625" style="117" customWidth="1"/>
    <col min="7371" max="7371" width="11.5" style="117" bestFit="1" customWidth="1"/>
    <col min="7372" max="7372" width="10.69921875" style="117" customWidth="1"/>
    <col min="7373" max="7373" width="11.69921875" style="117" customWidth="1"/>
    <col min="7374" max="7375" width="11.69921875" style="117" bestFit="1" customWidth="1"/>
    <col min="7376" max="7376" width="5.19921875" style="117" bestFit="1" customWidth="1"/>
    <col min="7377" max="7377" width="14.69921875" style="117" customWidth="1"/>
    <col min="7378" max="7614" width="10.5" style="117"/>
    <col min="7615" max="7615" width="5.59765625" style="117" customWidth="1"/>
    <col min="7616" max="7616" width="11.5" style="117" bestFit="1" customWidth="1"/>
    <col min="7617" max="7617" width="10.69921875" style="117" customWidth="1"/>
    <col min="7618" max="7618" width="11.69921875" style="117" customWidth="1"/>
    <col min="7619" max="7620" width="11.69921875" style="117" bestFit="1" customWidth="1"/>
    <col min="7621" max="7621" width="5.19921875" style="117" bestFit="1" customWidth="1"/>
    <col min="7622" max="7622" width="14.69921875" style="117" customWidth="1"/>
    <col min="7623" max="7625" width="10.5" style="117"/>
    <col min="7626" max="7626" width="5.59765625" style="117" customWidth="1"/>
    <col min="7627" max="7627" width="11.5" style="117" bestFit="1" customWidth="1"/>
    <col min="7628" max="7628" width="10.69921875" style="117" customWidth="1"/>
    <col min="7629" max="7629" width="11.69921875" style="117" customWidth="1"/>
    <col min="7630" max="7631" width="11.69921875" style="117" bestFit="1" customWidth="1"/>
    <col min="7632" max="7632" width="5.19921875" style="117" bestFit="1" customWidth="1"/>
    <col min="7633" max="7633" width="14.69921875" style="117" customWidth="1"/>
    <col min="7634" max="7870" width="10.5" style="117"/>
    <col min="7871" max="7871" width="5.59765625" style="117" customWidth="1"/>
    <col min="7872" max="7872" width="11.5" style="117" bestFit="1" customWidth="1"/>
    <col min="7873" max="7873" width="10.69921875" style="117" customWidth="1"/>
    <col min="7874" max="7874" width="11.69921875" style="117" customWidth="1"/>
    <col min="7875" max="7876" width="11.69921875" style="117" bestFit="1" customWidth="1"/>
    <col min="7877" max="7877" width="5.19921875" style="117" bestFit="1" customWidth="1"/>
    <col min="7878" max="7878" width="14.69921875" style="117" customWidth="1"/>
    <col min="7879" max="7881" width="10.5" style="117"/>
    <col min="7882" max="7882" width="5.59765625" style="117" customWidth="1"/>
    <col min="7883" max="7883" width="11.5" style="117" bestFit="1" customWidth="1"/>
    <col min="7884" max="7884" width="10.69921875" style="117" customWidth="1"/>
    <col min="7885" max="7885" width="11.69921875" style="117" customWidth="1"/>
    <col min="7886" max="7887" width="11.69921875" style="117" bestFit="1" customWidth="1"/>
    <col min="7888" max="7888" width="5.19921875" style="117" bestFit="1" customWidth="1"/>
    <col min="7889" max="7889" width="14.69921875" style="117" customWidth="1"/>
    <col min="7890" max="8126" width="10.5" style="117"/>
    <col min="8127" max="8127" width="5.59765625" style="117" customWidth="1"/>
    <col min="8128" max="8128" width="11.5" style="117" bestFit="1" customWidth="1"/>
    <col min="8129" max="8129" width="10.69921875" style="117" customWidth="1"/>
    <col min="8130" max="8130" width="11.69921875" style="117" customWidth="1"/>
    <col min="8131" max="8132" width="11.69921875" style="117" bestFit="1" customWidth="1"/>
    <col min="8133" max="8133" width="5.19921875" style="117" bestFit="1" customWidth="1"/>
    <col min="8134" max="8134" width="14.69921875" style="117" customWidth="1"/>
    <col min="8135" max="8137" width="10.5" style="117"/>
    <col min="8138" max="8138" width="5.59765625" style="117" customWidth="1"/>
    <col min="8139" max="8139" width="11.5" style="117" bestFit="1" customWidth="1"/>
    <col min="8140" max="8140" width="10.69921875" style="117" customWidth="1"/>
    <col min="8141" max="8141" width="11.69921875" style="117" customWidth="1"/>
    <col min="8142" max="8143" width="11.69921875" style="117" bestFit="1" customWidth="1"/>
    <col min="8144" max="8144" width="5.19921875" style="117" bestFit="1" customWidth="1"/>
    <col min="8145" max="8145" width="14.69921875" style="117" customWidth="1"/>
    <col min="8146" max="8382" width="10.5" style="117"/>
    <col min="8383" max="8383" width="5.59765625" style="117" customWidth="1"/>
    <col min="8384" max="8384" width="11.5" style="117" bestFit="1" customWidth="1"/>
    <col min="8385" max="8385" width="10.69921875" style="117" customWidth="1"/>
    <col min="8386" max="8386" width="11.69921875" style="117" customWidth="1"/>
    <col min="8387" max="8388" width="11.69921875" style="117" bestFit="1" customWidth="1"/>
    <col min="8389" max="8389" width="5.19921875" style="117" bestFit="1" customWidth="1"/>
    <col min="8390" max="8390" width="14.69921875" style="117" customWidth="1"/>
    <col min="8391" max="8393" width="10.5" style="117"/>
    <col min="8394" max="8394" width="5.59765625" style="117" customWidth="1"/>
    <col min="8395" max="8395" width="11.5" style="117" bestFit="1" customWidth="1"/>
    <col min="8396" max="8396" width="10.69921875" style="117" customWidth="1"/>
    <col min="8397" max="8397" width="11.69921875" style="117" customWidth="1"/>
    <col min="8398" max="8399" width="11.69921875" style="117" bestFit="1" customWidth="1"/>
    <col min="8400" max="8400" width="5.19921875" style="117" bestFit="1" customWidth="1"/>
    <col min="8401" max="8401" width="14.69921875" style="117" customWidth="1"/>
    <col min="8402" max="8638" width="10.5" style="117"/>
    <col min="8639" max="8639" width="5.59765625" style="117" customWidth="1"/>
    <col min="8640" max="8640" width="11.5" style="117" bestFit="1" customWidth="1"/>
    <col min="8641" max="8641" width="10.69921875" style="117" customWidth="1"/>
    <col min="8642" max="8642" width="11.69921875" style="117" customWidth="1"/>
    <col min="8643" max="8644" width="11.69921875" style="117" bestFit="1" customWidth="1"/>
    <col min="8645" max="8645" width="5.19921875" style="117" bestFit="1" customWidth="1"/>
    <col min="8646" max="8646" width="14.69921875" style="117" customWidth="1"/>
    <col min="8647" max="8649" width="10.5" style="117"/>
    <col min="8650" max="8650" width="5.59765625" style="117" customWidth="1"/>
    <col min="8651" max="8651" width="11.5" style="117" bestFit="1" customWidth="1"/>
    <col min="8652" max="8652" width="10.69921875" style="117" customWidth="1"/>
    <col min="8653" max="8653" width="11.69921875" style="117" customWidth="1"/>
    <col min="8654" max="8655" width="11.69921875" style="117" bestFit="1" customWidth="1"/>
    <col min="8656" max="8656" width="5.19921875" style="117" bestFit="1" customWidth="1"/>
    <col min="8657" max="8657" width="14.69921875" style="117" customWidth="1"/>
    <col min="8658" max="8894" width="10.5" style="117"/>
    <col min="8895" max="8895" width="5.59765625" style="117" customWidth="1"/>
    <col min="8896" max="8896" width="11.5" style="117" bestFit="1" customWidth="1"/>
    <col min="8897" max="8897" width="10.69921875" style="117" customWidth="1"/>
    <col min="8898" max="8898" width="11.69921875" style="117" customWidth="1"/>
    <col min="8899" max="8900" width="11.69921875" style="117" bestFit="1" customWidth="1"/>
    <col min="8901" max="8901" width="5.19921875" style="117" bestFit="1" customWidth="1"/>
    <col min="8902" max="8902" width="14.69921875" style="117" customWidth="1"/>
    <col min="8903" max="8905" width="10.5" style="117"/>
    <col min="8906" max="8906" width="5.59765625" style="117" customWidth="1"/>
    <col min="8907" max="8907" width="11.5" style="117" bestFit="1" customWidth="1"/>
    <col min="8908" max="8908" width="10.69921875" style="117" customWidth="1"/>
    <col min="8909" max="8909" width="11.69921875" style="117" customWidth="1"/>
    <col min="8910" max="8911" width="11.69921875" style="117" bestFit="1" customWidth="1"/>
    <col min="8912" max="8912" width="5.19921875" style="117" bestFit="1" customWidth="1"/>
    <col min="8913" max="8913" width="14.69921875" style="117" customWidth="1"/>
    <col min="8914" max="9150" width="10.5" style="117"/>
    <col min="9151" max="9151" width="5.59765625" style="117" customWidth="1"/>
    <col min="9152" max="9152" width="11.5" style="117" bestFit="1" customWidth="1"/>
    <col min="9153" max="9153" width="10.69921875" style="117" customWidth="1"/>
    <col min="9154" max="9154" width="11.69921875" style="117" customWidth="1"/>
    <col min="9155" max="9156" width="11.69921875" style="117" bestFit="1" customWidth="1"/>
    <col min="9157" max="9157" width="5.19921875" style="117" bestFit="1" customWidth="1"/>
    <col min="9158" max="9158" width="14.69921875" style="117" customWidth="1"/>
    <col min="9159" max="9161" width="10.5" style="117"/>
    <col min="9162" max="9162" width="5.59765625" style="117" customWidth="1"/>
    <col min="9163" max="9163" width="11.5" style="117" bestFit="1" customWidth="1"/>
    <col min="9164" max="9164" width="10.69921875" style="117" customWidth="1"/>
    <col min="9165" max="9165" width="11.69921875" style="117" customWidth="1"/>
    <col min="9166" max="9167" width="11.69921875" style="117" bestFit="1" customWidth="1"/>
    <col min="9168" max="9168" width="5.19921875" style="117" bestFit="1" customWidth="1"/>
    <col min="9169" max="9169" width="14.69921875" style="117" customWidth="1"/>
    <col min="9170" max="9406" width="10.5" style="117"/>
    <col min="9407" max="9407" width="5.59765625" style="117" customWidth="1"/>
    <col min="9408" max="9408" width="11.5" style="117" bestFit="1" customWidth="1"/>
    <col min="9409" max="9409" width="10.69921875" style="117" customWidth="1"/>
    <col min="9410" max="9410" width="11.69921875" style="117" customWidth="1"/>
    <col min="9411" max="9412" width="11.69921875" style="117" bestFit="1" customWidth="1"/>
    <col min="9413" max="9413" width="5.19921875" style="117" bestFit="1" customWidth="1"/>
    <col min="9414" max="9414" width="14.69921875" style="117" customWidth="1"/>
    <col min="9415" max="9417" width="10.5" style="117"/>
    <col min="9418" max="9418" width="5.59765625" style="117" customWidth="1"/>
    <col min="9419" max="9419" width="11.5" style="117" bestFit="1" customWidth="1"/>
    <col min="9420" max="9420" width="10.69921875" style="117" customWidth="1"/>
    <col min="9421" max="9421" width="11.69921875" style="117" customWidth="1"/>
    <col min="9422" max="9423" width="11.69921875" style="117" bestFit="1" customWidth="1"/>
    <col min="9424" max="9424" width="5.19921875" style="117" bestFit="1" customWidth="1"/>
    <col min="9425" max="9425" width="14.69921875" style="117" customWidth="1"/>
    <col min="9426" max="9662" width="10.5" style="117"/>
    <col min="9663" max="9663" width="5.59765625" style="117" customWidth="1"/>
    <col min="9664" max="9664" width="11.5" style="117" bestFit="1" customWidth="1"/>
    <col min="9665" max="9665" width="10.69921875" style="117" customWidth="1"/>
    <col min="9666" max="9666" width="11.69921875" style="117" customWidth="1"/>
    <col min="9667" max="9668" width="11.69921875" style="117" bestFit="1" customWidth="1"/>
    <col min="9669" max="9669" width="5.19921875" style="117" bestFit="1" customWidth="1"/>
    <col min="9670" max="9670" width="14.69921875" style="117" customWidth="1"/>
    <col min="9671" max="9673" width="10.5" style="117"/>
    <col min="9674" max="9674" width="5.59765625" style="117" customWidth="1"/>
    <col min="9675" max="9675" width="11.5" style="117" bestFit="1" customWidth="1"/>
    <col min="9676" max="9676" width="10.69921875" style="117" customWidth="1"/>
    <col min="9677" max="9677" width="11.69921875" style="117" customWidth="1"/>
    <col min="9678" max="9679" width="11.69921875" style="117" bestFit="1" customWidth="1"/>
    <col min="9680" max="9680" width="5.19921875" style="117" bestFit="1" customWidth="1"/>
    <col min="9681" max="9681" width="14.69921875" style="117" customWidth="1"/>
    <col min="9682" max="9918" width="10.5" style="117"/>
    <col min="9919" max="9919" width="5.59765625" style="117" customWidth="1"/>
    <col min="9920" max="9920" width="11.5" style="117" bestFit="1" customWidth="1"/>
    <col min="9921" max="9921" width="10.69921875" style="117" customWidth="1"/>
    <col min="9922" max="9922" width="11.69921875" style="117" customWidth="1"/>
    <col min="9923" max="9924" width="11.69921875" style="117" bestFit="1" customWidth="1"/>
    <col min="9925" max="9925" width="5.19921875" style="117" bestFit="1" customWidth="1"/>
    <col min="9926" max="9926" width="14.69921875" style="117" customWidth="1"/>
    <col min="9927" max="9929" width="10.5" style="117"/>
    <col min="9930" max="9930" width="5.59765625" style="117" customWidth="1"/>
    <col min="9931" max="9931" width="11.5" style="117" bestFit="1" customWidth="1"/>
    <col min="9932" max="9932" width="10.69921875" style="117" customWidth="1"/>
    <col min="9933" max="9933" width="11.69921875" style="117" customWidth="1"/>
    <col min="9934" max="9935" width="11.69921875" style="117" bestFit="1" customWidth="1"/>
    <col min="9936" max="9936" width="5.19921875" style="117" bestFit="1" customWidth="1"/>
    <col min="9937" max="9937" width="14.69921875" style="117" customWidth="1"/>
    <col min="9938" max="10174" width="10.5" style="117"/>
    <col min="10175" max="10175" width="5.59765625" style="117" customWidth="1"/>
    <col min="10176" max="10176" width="11.5" style="117" bestFit="1" customWidth="1"/>
    <col min="10177" max="10177" width="10.69921875" style="117" customWidth="1"/>
    <col min="10178" max="10178" width="11.69921875" style="117" customWidth="1"/>
    <col min="10179" max="10180" width="11.69921875" style="117" bestFit="1" customWidth="1"/>
    <col min="10181" max="10181" width="5.19921875" style="117" bestFit="1" customWidth="1"/>
    <col min="10182" max="10182" width="14.69921875" style="117" customWidth="1"/>
    <col min="10183" max="10185" width="10.5" style="117"/>
    <col min="10186" max="10186" width="5.59765625" style="117" customWidth="1"/>
    <col min="10187" max="10187" width="11.5" style="117" bestFit="1" customWidth="1"/>
    <col min="10188" max="10188" width="10.69921875" style="117" customWidth="1"/>
    <col min="10189" max="10189" width="11.69921875" style="117" customWidth="1"/>
    <col min="10190" max="10191" width="11.69921875" style="117" bestFit="1" customWidth="1"/>
    <col min="10192" max="10192" width="5.19921875" style="117" bestFit="1" customWidth="1"/>
    <col min="10193" max="10193" width="14.69921875" style="117" customWidth="1"/>
    <col min="10194" max="10430" width="10.5" style="117"/>
    <col min="10431" max="10431" width="5.59765625" style="117" customWidth="1"/>
    <col min="10432" max="10432" width="11.5" style="117" bestFit="1" customWidth="1"/>
    <col min="10433" max="10433" width="10.69921875" style="117" customWidth="1"/>
    <col min="10434" max="10434" width="11.69921875" style="117" customWidth="1"/>
    <col min="10435" max="10436" width="11.69921875" style="117" bestFit="1" customWidth="1"/>
    <col min="10437" max="10437" width="5.19921875" style="117" bestFit="1" customWidth="1"/>
    <col min="10438" max="10438" width="14.69921875" style="117" customWidth="1"/>
    <col min="10439" max="10441" width="10.5" style="117"/>
    <col min="10442" max="10442" width="5.59765625" style="117" customWidth="1"/>
    <col min="10443" max="10443" width="11.5" style="117" bestFit="1" customWidth="1"/>
    <col min="10444" max="10444" width="10.69921875" style="117" customWidth="1"/>
    <col min="10445" max="10445" width="11.69921875" style="117" customWidth="1"/>
    <col min="10446" max="10447" width="11.69921875" style="117" bestFit="1" customWidth="1"/>
    <col min="10448" max="10448" width="5.19921875" style="117" bestFit="1" customWidth="1"/>
    <col min="10449" max="10449" width="14.69921875" style="117" customWidth="1"/>
    <col min="10450" max="10686" width="10.5" style="117"/>
    <col min="10687" max="10687" width="5.59765625" style="117" customWidth="1"/>
    <col min="10688" max="10688" width="11.5" style="117" bestFit="1" customWidth="1"/>
    <col min="10689" max="10689" width="10.69921875" style="117" customWidth="1"/>
    <col min="10690" max="10690" width="11.69921875" style="117" customWidth="1"/>
    <col min="10691" max="10692" width="11.69921875" style="117" bestFit="1" customWidth="1"/>
    <col min="10693" max="10693" width="5.19921875" style="117" bestFit="1" customWidth="1"/>
    <col min="10694" max="10694" width="14.69921875" style="117" customWidth="1"/>
    <col min="10695" max="10697" width="10.5" style="117"/>
    <col min="10698" max="10698" width="5.59765625" style="117" customWidth="1"/>
    <col min="10699" max="10699" width="11.5" style="117" bestFit="1" customWidth="1"/>
    <col min="10700" max="10700" width="10.69921875" style="117" customWidth="1"/>
    <col min="10701" max="10701" width="11.69921875" style="117" customWidth="1"/>
    <col min="10702" max="10703" width="11.69921875" style="117" bestFit="1" customWidth="1"/>
    <col min="10704" max="10704" width="5.19921875" style="117" bestFit="1" customWidth="1"/>
    <col min="10705" max="10705" width="14.69921875" style="117" customWidth="1"/>
    <col min="10706" max="10942" width="10.5" style="117"/>
    <col min="10943" max="10943" width="5.59765625" style="117" customWidth="1"/>
    <col min="10944" max="10944" width="11.5" style="117" bestFit="1" customWidth="1"/>
    <col min="10945" max="10945" width="10.69921875" style="117" customWidth="1"/>
    <col min="10946" max="10946" width="11.69921875" style="117" customWidth="1"/>
    <col min="10947" max="10948" width="11.69921875" style="117" bestFit="1" customWidth="1"/>
    <col min="10949" max="10949" width="5.19921875" style="117" bestFit="1" customWidth="1"/>
    <col min="10950" max="10950" width="14.69921875" style="117" customWidth="1"/>
    <col min="10951" max="10953" width="10.5" style="117"/>
    <col min="10954" max="10954" width="5.59765625" style="117" customWidth="1"/>
    <col min="10955" max="10955" width="11.5" style="117" bestFit="1" customWidth="1"/>
    <col min="10956" max="10956" width="10.69921875" style="117" customWidth="1"/>
    <col min="10957" max="10957" width="11.69921875" style="117" customWidth="1"/>
    <col min="10958" max="10959" width="11.69921875" style="117" bestFit="1" customWidth="1"/>
    <col min="10960" max="10960" width="5.19921875" style="117" bestFit="1" customWidth="1"/>
    <col min="10961" max="10961" width="14.69921875" style="117" customWidth="1"/>
    <col min="10962" max="11198" width="10.5" style="117"/>
    <col min="11199" max="11199" width="5.59765625" style="117" customWidth="1"/>
    <col min="11200" max="11200" width="11.5" style="117" bestFit="1" customWidth="1"/>
    <col min="11201" max="11201" width="10.69921875" style="117" customWidth="1"/>
    <col min="11202" max="11202" width="11.69921875" style="117" customWidth="1"/>
    <col min="11203" max="11204" width="11.69921875" style="117" bestFit="1" customWidth="1"/>
    <col min="11205" max="11205" width="5.19921875" style="117" bestFit="1" customWidth="1"/>
    <col min="11206" max="11206" width="14.69921875" style="117" customWidth="1"/>
    <col min="11207" max="11209" width="10.5" style="117"/>
    <col min="11210" max="11210" width="5.59765625" style="117" customWidth="1"/>
    <col min="11211" max="11211" width="11.5" style="117" bestFit="1" customWidth="1"/>
    <col min="11212" max="11212" width="10.69921875" style="117" customWidth="1"/>
    <col min="11213" max="11213" width="11.69921875" style="117" customWidth="1"/>
    <col min="11214" max="11215" width="11.69921875" style="117" bestFit="1" customWidth="1"/>
    <col min="11216" max="11216" width="5.19921875" style="117" bestFit="1" customWidth="1"/>
    <col min="11217" max="11217" width="14.69921875" style="117" customWidth="1"/>
    <col min="11218" max="11454" width="10.5" style="117"/>
    <col min="11455" max="11455" width="5.59765625" style="117" customWidth="1"/>
    <col min="11456" max="11456" width="11.5" style="117" bestFit="1" customWidth="1"/>
    <col min="11457" max="11457" width="10.69921875" style="117" customWidth="1"/>
    <col min="11458" max="11458" width="11.69921875" style="117" customWidth="1"/>
    <col min="11459" max="11460" width="11.69921875" style="117" bestFit="1" customWidth="1"/>
    <col min="11461" max="11461" width="5.19921875" style="117" bestFit="1" customWidth="1"/>
    <col min="11462" max="11462" width="14.69921875" style="117" customWidth="1"/>
    <col min="11463" max="11465" width="10.5" style="117"/>
    <col min="11466" max="11466" width="5.59765625" style="117" customWidth="1"/>
    <col min="11467" max="11467" width="11.5" style="117" bestFit="1" customWidth="1"/>
    <col min="11468" max="11468" width="10.69921875" style="117" customWidth="1"/>
    <col min="11469" max="11469" width="11.69921875" style="117" customWidth="1"/>
    <col min="11470" max="11471" width="11.69921875" style="117" bestFit="1" customWidth="1"/>
    <col min="11472" max="11472" width="5.19921875" style="117" bestFit="1" customWidth="1"/>
    <col min="11473" max="11473" width="14.69921875" style="117" customWidth="1"/>
    <col min="11474" max="11710" width="10.5" style="117"/>
    <col min="11711" max="11711" width="5.59765625" style="117" customWidth="1"/>
    <col min="11712" max="11712" width="11.5" style="117" bestFit="1" customWidth="1"/>
    <col min="11713" max="11713" width="10.69921875" style="117" customWidth="1"/>
    <col min="11714" max="11714" width="11.69921875" style="117" customWidth="1"/>
    <col min="11715" max="11716" width="11.69921875" style="117" bestFit="1" customWidth="1"/>
    <col min="11717" max="11717" width="5.19921875" style="117" bestFit="1" customWidth="1"/>
    <col min="11718" max="11718" width="14.69921875" style="117" customWidth="1"/>
    <col min="11719" max="11721" width="10.5" style="117"/>
    <col min="11722" max="11722" width="5.59765625" style="117" customWidth="1"/>
    <col min="11723" max="11723" width="11.5" style="117" bestFit="1" customWidth="1"/>
    <col min="11724" max="11724" width="10.69921875" style="117" customWidth="1"/>
    <col min="11725" max="11725" width="11.69921875" style="117" customWidth="1"/>
    <col min="11726" max="11727" width="11.69921875" style="117" bestFit="1" customWidth="1"/>
    <col min="11728" max="11728" width="5.19921875" style="117" bestFit="1" customWidth="1"/>
    <col min="11729" max="11729" width="14.69921875" style="117" customWidth="1"/>
    <col min="11730" max="11966" width="10.5" style="117"/>
    <col min="11967" max="11967" width="5.59765625" style="117" customWidth="1"/>
    <col min="11968" max="11968" width="11.5" style="117" bestFit="1" customWidth="1"/>
    <col min="11969" max="11969" width="10.69921875" style="117" customWidth="1"/>
    <col min="11970" max="11970" width="11.69921875" style="117" customWidth="1"/>
    <col min="11971" max="11972" width="11.69921875" style="117" bestFit="1" customWidth="1"/>
    <col min="11973" max="11973" width="5.19921875" style="117" bestFit="1" customWidth="1"/>
    <col min="11974" max="11974" width="14.69921875" style="117" customWidth="1"/>
    <col min="11975" max="11977" width="10.5" style="117"/>
    <col min="11978" max="11978" width="5.59765625" style="117" customWidth="1"/>
    <col min="11979" max="11979" width="11.5" style="117" bestFit="1" customWidth="1"/>
    <col min="11980" max="11980" width="10.69921875" style="117" customWidth="1"/>
    <col min="11981" max="11981" width="11.69921875" style="117" customWidth="1"/>
    <col min="11982" max="11983" width="11.69921875" style="117" bestFit="1" customWidth="1"/>
    <col min="11984" max="11984" width="5.19921875" style="117" bestFit="1" customWidth="1"/>
    <col min="11985" max="11985" width="14.69921875" style="117" customWidth="1"/>
    <col min="11986" max="12222" width="10.5" style="117"/>
    <col min="12223" max="12223" width="5.59765625" style="117" customWidth="1"/>
    <col min="12224" max="12224" width="11.5" style="117" bestFit="1" customWidth="1"/>
    <col min="12225" max="12225" width="10.69921875" style="117" customWidth="1"/>
    <col min="12226" max="12226" width="11.69921875" style="117" customWidth="1"/>
    <col min="12227" max="12228" width="11.69921875" style="117" bestFit="1" customWidth="1"/>
    <col min="12229" max="12229" width="5.19921875" style="117" bestFit="1" customWidth="1"/>
    <col min="12230" max="12230" width="14.69921875" style="117" customWidth="1"/>
    <col min="12231" max="12233" width="10.5" style="117"/>
    <col min="12234" max="12234" width="5.59765625" style="117" customWidth="1"/>
    <col min="12235" max="12235" width="11.5" style="117" bestFit="1" customWidth="1"/>
    <col min="12236" max="12236" width="10.69921875" style="117" customWidth="1"/>
    <col min="12237" max="12237" width="11.69921875" style="117" customWidth="1"/>
    <col min="12238" max="12239" width="11.69921875" style="117" bestFit="1" customWidth="1"/>
    <col min="12240" max="12240" width="5.19921875" style="117" bestFit="1" customWidth="1"/>
    <col min="12241" max="12241" width="14.69921875" style="117" customWidth="1"/>
    <col min="12242" max="12478" width="10.5" style="117"/>
    <col min="12479" max="12479" width="5.59765625" style="117" customWidth="1"/>
    <col min="12480" max="12480" width="11.5" style="117" bestFit="1" customWidth="1"/>
    <col min="12481" max="12481" width="10.69921875" style="117" customWidth="1"/>
    <col min="12482" max="12482" width="11.69921875" style="117" customWidth="1"/>
    <col min="12483" max="12484" width="11.69921875" style="117" bestFit="1" customWidth="1"/>
    <col min="12485" max="12485" width="5.19921875" style="117" bestFit="1" customWidth="1"/>
    <col min="12486" max="12486" width="14.69921875" style="117" customWidth="1"/>
    <col min="12487" max="12489" width="10.5" style="117"/>
    <col min="12490" max="12490" width="5.59765625" style="117" customWidth="1"/>
    <col min="12491" max="12491" width="11.5" style="117" bestFit="1" customWidth="1"/>
    <col min="12492" max="12492" width="10.69921875" style="117" customWidth="1"/>
    <col min="12493" max="12493" width="11.69921875" style="117" customWidth="1"/>
    <col min="12494" max="12495" width="11.69921875" style="117" bestFit="1" customWidth="1"/>
    <col min="12496" max="12496" width="5.19921875" style="117" bestFit="1" customWidth="1"/>
    <col min="12497" max="12497" width="14.69921875" style="117" customWidth="1"/>
    <col min="12498" max="12734" width="10.5" style="117"/>
    <col min="12735" max="12735" width="5.59765625" style="117" customWidth="1"/>
    <col min="12736" max="12736" width="11.5" style="117" bestFit="1" customWidth="1"/>
    <col min="12737" max="12737" width="10.69921875" style="117" customWidth="1"/>
    <col min="12738" max="12738" width="11.69921875" style="117" customWidth="1"/>
    <col min="12739" max="12740" width="11.69921875" style="117" bestFit="1" customWidth="1"/>
    <col min="12741" max="12741" width="5.19921875" style="117" bestFit="1" customWidth="1"/>
    <col min="12742" max="12742" width="14.69921875" style="117" customWidth="1"/>
    <col min="12743" max="12745" width="10.5" style="117"/>
    <col min="12746" max="12746" width="5.59765625" style="117" customWidth="1"/>
    <col min="12747" max="12747" width="11.5" style="117" bestFit="1" customWidth="1"/>
    <col min="12748" max="12748" width="10.69921875" style="117" customWidth="1"/>
    <col min="12749" max="12749" width="11.69921875" style="117" customWidth="1"/>
    <col min="12750" max="12751" width="11.69921875" style="117" bestFit="1" customWidth="1"/>
    <col min="12752" max="12752" width="5.19921875" style="117" bestFit="1" customWidth="1"/>
    <col min="12753" max="12753" width="14.69921875" style="117" customWidth="1"/>
    <col min="12754" max="12990" width="10.5" style="117"/>
    <col min="12991" max="12991" width="5.59765625" style="117" customWidth="1"/>
    <col min="12992" max="12992" width="11.5" style="117" bestFit="1" customWidth="1"/>
    <col min="12993" max="12993" width="10.69921875" style="117" customWidth="1"/>
    <col min="12994" max="12994" width="11.69921875" style="117" customWidth="1"/>
    <col min="12995" max="12996" width="11.69921875" style="117" bestFit="1" customWidth="1"/>
    <col min="12997" max="12997" width="5.19921875" style="117" bestFit="1" customWidth="1"/>
    <col min="12998" max="12998" width="14.69921875" style="117" customWidth="1"/>
    <col min="12999" max="13001" width="10.5" style="117"/>
    <col min="13002" max="13002" width="5.59765625" style="117" customWidth="1"/>
    <col min="13003" max="13003" width="11.5" style="117" bestFit="1" customWidth="1"/>
    <col min="13004" max="13004" width="10.69921875" style="117" customWidth="1"/>
    <col min="13005" max="13005" width="11.69921875" style="117" customWidth="1"/>
    <col min="13006" max="13007" width="11.69921875" style="117" bestFit="1" customWidth="1"/>
    <col min="13008" max="13008" width="5.19921875" style="117" bestFit="1" customWidth="1"/>
    <col min="13009" max="13009" width="14.69921875" style="117" customWidth="1"/>
    <col min="13010" max="13246" width="10.5" style="117"/>
    <col min="13247" max="13247" width="5.59765625" style="117" customWidth="1"/>
    <col min="13248" max="13248" width="11.5" style="117" bestFit="1" customWidth="1"/>
    <col min="13249" max="13249" width="10.69921875" style="117" customWidth="1"/>
    <col min="13250" max="13250" width="11.69921875" style="117" customWidth="1"/>
    <col min="13251" max="13252" width="11.69921875" style="117" bestFit="1" customWidth="1"/>
    <col min="13253" max="13253" width="5.19921875" style="117" bestFit="1" customWidth="1"/>
    <col min="13254" max="13254" width="14.69921875" style="117" customWidth="1"/>
    <col min="13255" max="13257" width="10.5" style="117"/>
    <col min="13258" max="13258" width="5.59765625" style="117" customWidth="1"/>
    <col min="13259" max="13259" width="11.5" style="117" bestFit="1" customWidth="1"/>
    <col min="13260" max="13260" width="10.69921875" style="117" customWidth="1"/>
    <col min="13261" max="13261" width="11.69921875" style="117" customWidth="1"/>
    <col min="13262" max="13263" width="11.69921875" style="117" bestFit="1" customWidth="1"/>
    <col min="13264" max="13264" width="5.19921875" style="117" bestFit="1" customWidth="1"/>
    <col min="13265" max="13265" width="14.69921875" style="117" customWidth="1"/>
    <col min="13266" max="13502" width="10.5" style="117"/>
    <col min="13503" max="13503" width="5.59765625" style="117" customWidth="1"/>
    <col min="13504" max="13504" width="11.5" style="117" bestFit="1" customWidth="1"/>
    <col min="13505" max="13505" width="10.69921875" style="117" customWidth="1"/>
    <col min="13506" max="13506" width="11.69921875" style="117" customWidth="1"/>
    <col min="13507" max="13508" width="11.69921875" style="117" bestFit="1" customWidth="1"/>
    <col min="13509" max="13509" width="5.19921875" style="117" bestFit="1" customWidth="1"/>
    <col min="13510" max="13510" width="14.69921875" style="117" customWidth="1"/>
    <col min="13511" max="13513" width="10.5" style="117"/>
    <col min="13514" max="13514" width="5.59765625" style="117" customWidth="1"/>
    <col min="13515" max="13515" width="11.5" style="117" bestFit="1" customWidth="1"/>
    <col min="13516" max="13516" width="10.69921875" style="117" customWidth="1"/>
    <col min="13517" max="13517" width="11.69921875" style="117" customWidth="1"/>
    <col min="13518" max="13519" width="11.69921875" style="117" bestFit="1" customWidth="1"/>
    <col min="13520" max="13520" width="5.19921875" style="117" bestFit="1" customWidth="1"/>
    <col min="13521" max="13521" width="14.69921875" style="117" customWidth="1"/>
    <col min="13522" max="13758" width="10.5" style="117"/>
    <col min="13759" max="13759" width="5.59765625" style="117" customWidth="1"/>
    <col min="13760" max="13760" width="11.5" style="117" bestFit="1" customWidth="1"/>
    <col min="13761" max="13761" width="10.69921875" style="117" customWidth="1"/>
    <col min="13762" max="13762" width="11.69921875" style="117" customWidth="1"/>
    <col min="13763" max="13764" width="11.69921875" style="117" bestFit="1" customWidth="1"/>
    <col min="13765" max="13765" width="5.19921875" style="117" bestFit="1" customWidth="1"/>
    <col min="13766" max="13766" width="14.69921875" style="117" customWidth="1"/>
    <col min="13767" max="13769" width="10.5" style="117"/>
    <col min="13770" max="13770" width="5.59765625" style="117" customWidth="1"/>
    <col min="13771" max="13771" width="11.5" style="117" bestFit="1" customWidth="1"/>
    <col min="13772" max="13772" width="10.69921875" style="117" customWidth="1"/>
    <col min="13773" max="13773" width="11.69921875" style="117" customWidth="1"/>
    <col min="13774" max="13775" width="11.69921875" style="117" bestFit="1" customWidth="1"/>
    <col min="13776" max="13776" width="5.19921875" style="117" bestFit="1" customWidth="1"/>
    <col min="13777" max="13777" width="14.69921875" style="117" customWidth="1"/>
    <col min="13778" max="14014" width="10.5" style="117"/>
    <col min="14015" max="14015" width="5.59765625" style="117" customWidth="1"/>
    <col min="14016" max="14016" width="11.5" style="117" bestFit="1" customWidth="1"/>
    <col min="14017" max="14017" width="10.69921875" style="117" customWidth="1"/>
    <col min="14018" max="14018" width="11.69921875" style="117" customWidth="1"/>
    <col min="14019" max="14020" width="11.69921875" style="117" bestFit="1" customWidth="1"/>
    <col min="14021" max="14021" width="5.19921875" style="117" bestFit="1" customWidth="1"/>
    <col min="14022" max="14022" width="14.69921875" style="117" customWidth="1"/>
    <col min="14023" max="14025" width="10.5" style="117"/>
    <col min="14026" max="14026" width="5.59765625" style="117" customWidth="1"/>
    <col min="14027" max="14027" width="11.5" style="117" bestFit="1" customWidth="1"/>
    <col min="14028" max="14028" width="10.69921875" style="117" customWidth="1"/>
    <col min="14029" max="14029" width="11.69921875" style="117" customWidth="1"/>
    <col min="14030" max="14031" width="11.69921875" style="117" bestFit="1" customWidth="1"/>
    <col min="14032" max="14032" width="5.19921875" style="117" bestFit="1" customWidth="1"/>
    <col min="14033" max="14033" width="14.69921875" style="117" customWidth="1"/>
    <col min="14034" max="14270" width="10.5" style="117"/>
    <col min="14271" max="14271" width="5.59765625" style="117" customWidth="1"/>
    <col min="14272" max="14272" width="11.5" style="117" bestFit="1" customWidth="1"/>
    <col min="14273" max="14273" width="10.69921875" style="117" customWidth="1"/>
    <col min="14274" max="14274" width="11.69921875" style="117" customWidth="1"/>
    <col min="14275" max="14276" width="11.69921875" style="117" bestFit="1" customWidth="1"/>
    <col min="14277" max="14277" width="5.19921875" style="117" bestFit="1" customWidth="1"/>
    <col min="14278" max="14278" width="14.69921875" style="117" customWidth="1"/>
    <col min="14279" max="14281" width="10.5" style="117"/>
    <col min="14282" max="14282" width="5.59765625" style="117" customWidth="1"/>
    <col min="14283" max="14283" width="11.5" style="117" bestFit="1" customWidth="1"/>
    <col min="14284" max="14284" width="10.69921875" style="117" customWidth="1"/>
    <col min="14285" max="14285" width="11.69921875" style="117" customWidth="1"/>
    <col min="14286" max="14287" width="11.69921875" style="117" bestFit="1" customWidth="1"/>
    <col min="14288" max="14288" width="5.19921875" style="117" bestFit="1" customWidth="1"/>
    <col min="14289" max="14289" width="14.69921875" style="117" customWidth="1"/>
    <col min="14290" max="14526" width="10.5" style="117"/>
    <col min="14527" max="14527" width="5.59765625" style="117" customWidth="1"/>
    <col min="14528" max="14528" width="11.5" style="117" bestFit="1" customWidth="1"/>
    <col min="14529" max="14529" width="10.69921875" style="117" customWidth="1"/>
    <col min="14530" max="14530" width="11.69921875" style="117" customWidth="1"/>
    <col min="14531" max="14532" width="11.69921875" style="117" bestFit="1" customWidth="1"/>
    <col min="14533" max="14533" width="5.19921875" style="117" bestFit="1" customWidth="1"/>
    <col min="14534" max="14534" width="14.69921875" style="117" customWidth="1"/>
    <col min="14535" max="14537" width="10.5" style="117"/>
    <col min="14538" max="14538" width="5.59765625" style="117" customWidth="1"/>
    <col min="14539" max="14539" width="11.5" style="117" bestFit="1" customWidth="1"/>
    <col min="14540" max="14540" width="10.69921875" style="117" customWidth="1"/>
    <col min="14541" max="14541" width="11.69921875" style="117" customWidth="1"/>
    <col min="14542" max="14543" width="11.69921875" style="117" bestFit="1" customWidth="1"/>
    <col min="14544" max="14544" width="5.19921875" style="117" bestFit="1" customWidth="1"/>
    <col min="14545" max="14545" width="14.69921875" style="117" customWidth="1"/>
    <col min="14546" max="14782" width="10.5" style="117"/>
    <col min="14783" max="14783" width="5.59765625" style="117" customWidth="1"/>
    <col min="14784" max="14784" width="11.5" style="117" bestFit="1" customWidth="1"/>
    <col min="14785" max="14785" width="10.69921875" style="117" customWidth="1"/>
    <col min="14786" max="14786" width="11.69921875" style="117" customWidth="1"/>
    <col min="14787" max="14788" width="11.69921875" style="117" bestFit="1" customWidth="1"/>
    <col min="14789" max="14789" width="5.19921875" style="117" bestFit="1" customWidth="1"/>
    <col min="14790" max="14790" width="14.69921875" style="117" customWidth="1"/>
    <col min="14791" max="14793" width="10.5" style="117"/>
    <col min="14794" max="14794" width="5.59765625" style="117" customWidth="1"/>
    <col min="14795" max="14795" width="11.5" style="117" bestFit="1" customWidth="1"/>
    <col min="14796" max="14796" width="10.69921875" style="117" customWidth="1"/>
    <col min="14797" max="14797" width="11.69921875" style="117" customWidth="1"/>
    <col min="14798" max="14799" width="11.69921875" style="117" bestFit="1" customWidth="1"/>
    <col min="14800" max="14800" width="5.19921875" style="117" bestFit="1" customWidth="1"/>
    <col min="14801" max="14801" width="14.69921875" style="117" customWidth="1"/>
    <col min="14802" max="15038" width="10.5" style="117"/>
    <col min="15039" max="15039" width="5.59765625" style="117" customWidth="1"/>
    <col min="15040" max="15040" width="11.5" style="117" bestFit="1" customWidth="1"/>
    <col min="15041" max="15041" width="10.69921875" style="117" customWidth="1"/>
    <col min="15042" max="15042" width="11.69921875" style="117" customWidth="1"/>
    <col min="15043" max="15044" width="11.69921875" style="117" bestFit="1" customWidth="1"/>
    <col min="15045" max="15045" width="5.19921875" style="117" bestFit="1" customWidth="1"/>
    <col min="15046" max="15046" width="14.69921875" style="117" customWidth="1"/>
    <col min="15047" max="15049" width="10.5" style="117"/>
    <col min="15050" max="15050" width="5.59765625" style="117" customWidth="1"/>
    <col min="15051" max="15051" width="11.5" style="117" bestFit="1" customWidth="1"/>
    <col min="15052" max="15052" width="10.69921875" style="117" customWidth="1"/>
    <col min="15053" max="15053" width="11.69921875" style="117" customWidth="1"/>
    <col min="15054" max="15055" width="11.69921875" style="117" bestFit="1" customWidth="1"/>
    <col min="15056" max="15056" width="5.19921875" style="117" bestFit="1" customWidth="1"/>
    <col min="15057" max="15057" width="14.69921875" style="117" customWidth="1"/>
    <col min="15058" max="15294" width="10.5" style="117"/>
    <col min="15295" max="15295" width="5.59765625" style="117" customWidth="1"/>
    <col min="15296" max="15296" width="11.5" style="117" bestFit="1" customWidth="1"/>
    <col min="15297" max="15297" width="10.69921875" style="117" customWidth="1"/>
    <col min="15298" max="15298" width="11.69921875" style="117" customWidth="1"/>
    <col min="15299" max="15300" width="11.69921875" style="117" bestFit="1" customWidth="1"/>
    <col min="15301" max="15301" width="5.19921875" style="117" bestFit="1" customWidth="1"/>
    <col min="15302" max="15302" width="14.69921875" style="117" customWidth="1"/>
    <col min="15303" max="15305" width="10.5" style="117"/>
    <col min="15306" max="15306" width="5.59765625" style="117" customWidth="1"/>
    <col min="15307" max="15307" width="11.5" style="117" bestFit="1" customWidth="1"/>
    <col min="15308" max="15308" width="10.69921875" style="117" customWidth="1"/>
    <col min="15309" max="15309" width="11.69921875" style="117" customWidth="1"/>
    <col min="15310" max="15311" width="11.69921875" style="117" bestFit="1" customWidth="1"/>
    <col min="15312" max="15312" width="5.19921875" style="117" bestFit="1" customWidth="1"/>
    <col min="15313" max="15313" width="14.69921875" style="117" customWidth="1"/>
    <col min="15314" max="15550" width="10.5" style="117"/>
    <col min="15551" max="15551" width="5.59765625" style="117" customWidth="1"/>
    <col min="15552" max="15552" width="11.5" style="117" bestFit="1" customWidth="1"/>
    <col min="15553" max="15553" width="10.69921875" style="117" customWidth="1"/>
    <col min="15554" max="15554" width="11.69921875" style="117" customWidth="1"/>
    <col min="15555" max="15556" width="11.69921875" style="117" bestFit="1" customWidth="1"/>
    <col min="15557" max="15557" width="5.19921875" style="117" bestFit="1" customWidth="1"/>
    <col min="15558" max="15558" width="14.69921875" style="117" customWidth="1"/>
    <col min="15559" max="15561" width="10.5" style="117"/>
    <col min="15562" max="15562" width="5.59765625" style="117" customWidth="1"/>
    <col min="15563" max="15563" width="11.5" style="117" bestFit="1" customWidth="1"/>
    <col min="15564" max="15564" width="10.69921875" style="117" customWidth="1"/>
    <col min="15565" max="15565" width="11.69921875" style="117" customWidth="1"/>
    <col min="15566" max="15567" width="11.69921875" style="117" bestFit="1" customWidth="1"/>
    <col min="15568" max="15568" width="5.19921875" style="117" bestFit="1" customWidth="1"/>
    <col min="15569" max="15569" width="14.69921875" style="117" customWidth="1"/>
    <col min="15570" max="15806" width="10.5" style="117"/>
    <col min="15807" max="15807" width="5.59765625" style="117" customWidth="1"/>
    <col min="15808" max="15808" width="11.5" style="117" bestFit="1" customWidth="1"/>
    <col min="15809" max="15809" width="10.69921875" style="117" customWidth="1"/>
    <col min="15810" max="15810" width="11.69921875" style="117" customWidth="1"/>
    <col min="15811" max="15812" width="11.69921875" style="117" bestFit="1" customWidth="1"/>
    <col min="15813" max="15813" width="5.19921875" style="117" bestFit="1" customWidth="1"/>
    <col min="15814" max="15814" width="14.69921875" style="117" customWidth="1"/>
    <col min="15815" max="15817" width="10.5" style="117"/>
    <col min="15818" max="15818" width="5.59765625" style="117" customWidth="1"/>
    <col min="15819" max="15819" width="11.5" style="117" bestFit="1" customWidth="1"/>
    <col min="15820" max="15820" width="10.69921875" style="117" customWidth="1"/>
    <col min="15821" max="15821" width="11.69921875" style="117" customWidth="1"/>
    <col min="15822" max="15823" width="11.69921875" style="117" bestFit="1" customWidth="1"/>
    <col min="15824" max="15824" width="5.19921875" style="117" bestFit="1" customWidth="1"/>
    <col min="15825" max="15825" width="14.69921875" style="117" customWidth="1"/>
    <col min="15826" max="16062" width="10.5" style="117"/>
    <col min="16063" max="16063" width="5.59765625" style="117" customWidth="1"/>
    <col min="16064" max="16064" width="11.5" style="117" bestFit="1" customWidth="1"/>
    <col min="16065" max="16065" width="10.69921875" style="117" customWidth="1"/>
    <col min="16066" max="16066" width="11.69921875" style="117" customWidth="1"/>
    <col min="16067" max="16068" width="11.69921875" style="117" bestFit="1" customWidth="1"/>
    <col min="16069" max="16069" width="5.19921875" style="117" bestFit="1" customWidth="1"/>
    <col min="16070" max="16070" width="14.69921875" style="117" customWidth="1"/>
    <col min="16071" max="16073" width="10.5" style="117"/>
    <col min="16074" max="16074" width="5.59765625" style="117" customWidth="1"/>
    <col min="16075" max="16075" width="11.5" style="117" bestFit="1" customWidth="1"/>
    <col min="16076" max="16076" width="10.69921875" style="117" customWidth="1"/>
    <col min="16077" max="16077" width="11.69921875" style="117" customWidth="1"/>
    <col min="16078" max="16079" width="11.69921875" style="117" bestFit="1" customWidth="1"/>
    <col min="16080" max="16080" width="5.19921875" style="117" bestFit="1" customWidth="1"/>
    <col min="16081" max="16081" width="14.69921875" style="117" customWidth="1"/>
    <col min="16082" max="16384" width="10.5" style="117"/>
  </cols>
  <sheetData>
    <row r="1" spans="1:48">
      <c r="A1" s="116" t="s">
        <v>242</v>
      </c>
      <c r="C1" s="118"/>
      <c r="D1" s="118"/>
      <c r="L1" s="116" t="s">
        <v>242</v>
      </c>
      <c r="N1" s="118"/>
      <c r="O1" s="118"/>
      <c r="W1" s="511"/>
      <c r="X1" s="511" t="s">
        <v>350</v>
      </c>
      <c r="Y1" s="118"/>
      <c r="Z1" s="118"/>
    </row>
    <row r="2" spans="1:48">
      <c r="C2" s="119" t="s">
        <v>95</v>
      </c>
      <c r="D2" s="328">
        <f>+評価・判断!I10</f>
        <v>0.02</v>
      </c>
      <c r="E2" s="318" t="s">
        <v>96</v>
      </c>
      <c r="F2" s="329">
        <f>+評価・判断!I12</f>
        <v>6</v>
      </c>
      <c r="H2" s="167"/>
      <c r="N2" s="119" t="s">
        <v>95</v>
      </c>
      <c r="O2" s="328">
        <f>+⑦資金繰り表!H50</f>
        <v>3.5000000000000003E-2</v>
      </c>
      <c r="P2" s="127" t="s">
        <v>96</v>
      </c>
      <c r="Q2" s="329">
        <f>+⑦資金繰り表!H52</f>
        <v>0</v>
      </c>
      <c r="S2" s="167"/>
      <c r="Y2" s="119" t="s">
        <v>95</v>
      </c>
      <c r="Z2" s="508"/>
      <c r="AA2" s="127" t="s">
        <v>96</v>
      </c>
      <c r="AB2" s="318"/>
      <c r="AD2" s="167"/>
      <c r="AK2" s="172"/>
      <c r="AL2" s="172"/>
    </row>
    <row r="3" spans="1:48" ht="18" thickBot="1">
      <c r="B3" s="121"/>
      <c r="C3" s="122" t="s">
        <v>97</v>
      </c>
      <c r="D3" s="328">
        <f>+評価・判断!I11</f>
        <v>120</v>
      </c>
      <c r="E3" s="319" t="s">
        <v>98</v>
      </c>
      <c r="F3" s="330">
        <f>+③調達品!H119</f>
        <v>9407500</v>
      </c>
      <c r="G3" s="127" t="s">
        <v>99</v>
      </c>
      <c r="H3" s="289">
        <f>+B127</f>
        <v>106</v>
      </c>
      <c r="M3" s="121"/>
      <c r="N3" s="122" t="s">
        <v>97</v>
      </c>
      <c r="O3" s="513">
        <f>+⑦資金繰り表!H51</f>
        <v>36</v>
      </c>
      <c r="P3" s="123" t="s">
        <v>100</v>
      </c>
      <c r="Q3" s="330">
        <f>+⑦資金繰り表!H49*1000</f>
        <v>0</v>
      </c>
      <c r="R3" s="127" t="s">
        <v>99</v>
      </c>
      <c r="S3" s="168">
        <f>+M127</f>
        <v>0</v>
      </c>
      <c r="X3" s="121"/>
      <c r="Y3" s="122" t="s">
        <v>97</v>
      </c>
      <c r="Z3" s="509"/>
      <c r="AA3" s="123" t="s">
        <v>100</v>
      </c>
      <c r="AB3" s="510">
        <v>0</v>
      </c>
      <c r="AC3" s="127" t="s">
        <v>99</v>
      </c>
      <c r="AD3" s="168">
        <f>+X127</f>
        <v>0</v>
      </c>
      <c r="AH3" s="169" t="s">
        <v>349</v>
      </c>
      <c r="AM3" s="187">
        <v>1</v>
      </c>
      <c r="AN3" s="187">
        <v>2</v>
      </c>
      <c r="AO3" s="187">
        <v>3</v>
      </c>
      <c r="AP3" s="187">
        <v>4</v>
      </c>
      <c r="AQ3" s="187">
        <v>5</v>
      </c>
      <c r="AR3" s="187">
        <v>6</v>
      </c>
      <c r="AS3" s="187">
        <v>7</v>
      </c>
      <c r="AT3" s="187">
        <v>8</v>
      </c>
      <c r="AU3" s="187">
        <v>9</v>
      </c>
      <c r="AV3" s="187">
        <v>10</v>
      </c>
    </row>
    <row r="4" spans="1:48">
      <c r="A4" s="116"/>
      <c r="B4" s="124" t="s">
        <v>101</v>
      </c>
      <c r="C4" s="125" t="s">
        <v>102</v>
      </c>
      <c r="D4" s="125" t="s">
        <v>103</v>
      </c>
      <c r="E4" s="125" t="s">
        <v>104</v>
      </c>
      <c r="F4" s="126" t="s">
        <v>105</v>
      </c>
      <c r="G4" s="127" t="s">
        <v>106</v>
      </c>
      <c r="H4" s="119" t="s">
        <v>107</v>
      </c>
      <c r="I4" s="128" t="s">
        <v>108</v>
      </c>
      <c r="J4" s="129" t="s">
        <v>109</v>
      </c>
      <c r="L4" s="116"/>
      <c r="M4" s="124" t="s">
        <v>101</v>
      </c>
      <c r="N4" s="125" t="s">
        <v>102</v>
      </c>
      <c r="O4" s="125" t="s">
        <v>103</v>
      </c>
      <c r="P4" s="125" t="s">
        <v>104</v>
      </c>
      <c r="Q4" s="126" t="s">
        <v>105</v>
      </c>
      <c r="R4" s="127" t="s">
        <v>106</v>
      </c>
      <c r="S4" s="119" t="s">
        <v>107</v>
      </c>
      <c r="T4" s="128" t="s">
        <v>108</v>
      </c>
      <c r="U4" s="129" t="s">
        <v>109</v>
      </c>
      <c r="W4" s="116"/>
      <c r="X4" s="124" t="s">
        <v>101</v>
      </c>
      <c r="Y4" s="125" t="s">
        <v>102</v>
      </c>
      <c r="Z4" s="125" t="s">
        <v>103</v>
      </c>
      <c r="AA4" s="125" t="s">
        <v>104</v>
      </c>
      <c r="AB4" s="126" t="s">
        <v>105</v>
      </c>
      <c r="AC4" s="127" t="s">
        <v>106</v>
      </c>
      <c r="AD4" s="119" t="s">
        <v>107</v>
      </c>
      <c r="AE4" s="128" t="s">
        <v>108</v>
      </c>
      <c r="AF4" s="129" t="s">
        <v>109</v>
      </c>
      <c r="AH4" s="170" t="s">
        <v>108</v>
      </c>
      <c r="AI4" s="170" t="s">
        <v>110</v>
      </c>
      <c r="AJ4" s="170" t="s">
        <v>111</v>
      </c>
      <c r="AM4" s="187">
        <v>12</v>
      </c>
      <c r="AN4" s="187">
        <f>+AM4+12</f>
        <v>24</v>
      </c>
      <c r="AO4" s="187">
        <f>+AN4+12</f>
        <v>36</v>
      </c>
      <c r="AP4" s="187">
        <f t="shared" ref="AP4:AV4" si="0">+AO4+12</f>
        <v>48</v>
      </c>
      <c r="AQ4" s="187">
        <f t="shared" si="0"/>
        <v>60</v>
      </c>
      <c r="AR4" s="187">
        <f t="shared" si="0"/>
        <v>72</v>
      </c>
      <c r="AS4" s="187">
        <f t="shared" si="0"/>
        <v>84</v>
      </c>
      <c r="AT4" s="187">
        <f t="shared" si="0"/>
        <v>96</v>
      </c>
      <c r="AU4" s="187">
        <f t="shared" si="0"/>
        <v>108</v>
      </c>
      <c r="AV4" s="187">
        <f t="shared" si="0"/>
        <v>120</v>
      </c>
    </row>
    <row r="5" spans="1:48">
      <c r="A5" s="117">
        <v>1</v>
      </c>
      <c r="B5" s="130">
        <f>IF(A5&gt;=$D$3+1,"",IF(A5&lt;$F$2+1,0,TRUNC($F$3/($D$3-$F$2))*1))</f>
        <v>0</v>
      </c>
      <c r="C5" s="131">
        <f>ROUND(F3*D2/365*F5,0)</f>
        <v>15980</v>
      </c>
      <c r="D5" s="131">
        <f t="shared" ref="D5:D68" si="1">B5+C5</f>
        <v>15980</v>
      </c>
      <c r="E5" s="131">
        <f>F3-B5</f>
        <v>9407500</v>
      </c>
      <c r="F5" s="120">
        <f>IF(G5=2,28,IF(OR(G5=4,G5=6,G5=9,G5=11),30,31))</f>
        <v>31</v>
      </c>
      <c r="G5" s="277">
        <f>+②経費の積算!G2</f>
        <v>1</v>
      </c>
      <c r="H5" s="119"/>
      <c r="I5" s="121">
        <f>+C5</f>
        <v>15980</v>
      </c>
      <c r="J5" s="121">
        <f>+B5</f>
        <v>0</v>
      </c>
      <c r="L5" s="117">
        <v>1</v>
      </c>
      <c r="M5" s="130">
        <f t="shared" ref="M5:M36" si="2">IF(L5&gt;=$O$3+1,"",IF(L5&lt;$Q$2+1,0,TRUNC($Q$3/($O$3-$Q$2))*1))</f>
        <v>0</v>
      </c>
      <c r="N5" s="131">
        <f>ROUND(Q3*O2/365*Q5,0)</f>
        <v>0</v>
      </c>
      <c r="O5" s="131">
        <f t="shared" ref="O5:O68" si="3">M5+N5</f>
        <v>0</v>
      </c>
      <c r="P5" s="131">
        <f>Q3-M5</f>
        <v>0</v>
      </c>
      <c r="Q5" s="120">
        <f>IF(R5=2,28,IF(OR(R5=4,R5=6,R5=9,R5=11),30,31))</f>
        <v>31</v>
      </c>
      <c r="R5" s="328">
        <f>+G5</f>
        <v>1</v>
      </c>
      <c r="S5" s="119"/>
      <c r="T5" s="121">
        <f>+N5</f>
        <v>0</v>
      </c>
      <c r="U5" s="121">
        <f>+M5</f>
        <v>0</v>
      </c>
      <c r="W5" s="117">
        <v>1</v>
      </c>
      <c r="X5" s="130" t="str">
        <f t="shared" ref="X5:X36" si="4">IF(W5&gt;=$Z$3+1,"",IF(W5&lt;$AB$2+1,0,TRUNC($AB$3/($Z$3-$AB$2))*1))</f>
        <v/>
      </c>
      <c r="Y5" s="131">
        <f>ROUND(AB3*Z2/365*AB5,0)</f>
        <v>0</v>
      </c>
      <c r="Z5" s="131">
        <f t="shared" ref="Z5:Z68" si="5">X5+Y5</f>
        <v>0</v>
      </c>
      <c r="AA5" s="131">
        <f>AB3-X5</f>
        <v>0</v>
      </c>
      <c r="AB5" s="120">
        <f>IF(AC5=2,28,IF(OR(AC5=4,AC5=6,AC5=9,AC5=11),30,31))</f>
        <v>31</v>
      </c>
      <c r="AC5" s="508">
        <f>+R5</f>
        <v>1</v>
      </c>
      <c r="AD5" s="119"/>
      <c r="AE5" s="121">
        <f>+Y5</f>
        <v>0</v>
      </c>
      <c r="AF5" s="121" t="str">
        <f>+X5</f>
        <v/>
      </c>
      <c r="AG5" s="117">
        <f>+AC5</f>
        <v>1</v>
      </c>
      <c r="AH5" s="171">
        <f>+I5+T5+AE5</f>
        <v>15980</v>
      </c>
      <c r="AI5" s="171">
        <f>+J5+U5+AF5</f>
        <v>0</v>
      </c>
      <c r="AJ5" s="171">
        <f>+E5+P5+AA5</f>
        <v>9407500</v>
      </c>
      <c r="AL5" s="127" t="s">
        <v>112</v>
      </c>
      <c r="AM5" s="188">
        <f>VLOOKUP(AM$4,$AG$5:$AI$124,2,FALSE)</f>
        <v>186074</v>
      </c>
      <c r="AN5" s="188">
        <f t="shared" ref="AN5:AV5" si="6">VLOOKUP(AN4,$AG$5:$AI$124,2,FALSE)</f>
        <v>169127</v>
      </c>
      <c r="AO5" s="188">
        <f t="shared" si="6"/>
        <v>149322</v>
      </c>
      <c r="AP5" s="188">
        <f t="shared" si="6"/>
        <v>129518</v>
      </c>
      <c r="AQ5" s="188">
        <f t="shared" si="6"/>
        <v>109713</v>
      </c>
      <c r="AR5" s="188">
        <f t="shared" si="6"/>
        <v>89908</v>
      </c>
      <c r="AS5" s="188">
        <f t="shared" si="6"/>
        <v>70101</v>
      </c>
      <c r="AT5" s="188">
        <f t="shared" si="6"/>
        <v>50295</v>
      </c>
      <c r="AU5" s="188">
        <f t="shared" si="6"/>
        <v>30492</v>
      </c>
      <c r="AV5" s="188">
        <f t="shared" si="6"/>
        <v>10687</v>
      </c>
    </row>
    <row r="6" spans="1:48">
      <c r="A6" s="117">
        <v>2</v>
      </c>
      <c r="B6" s="130">
        <f>IF(A6&gt;=$D$3+1,"",IF(A6&lt;$F$2+1,0,TRUNC($F$3/($D$3-$F$2))*1))</f>
        <v>0</v>
      </c>
      <c r="C6" s="131">
        <f t="shared" ref="C6:C69" si="7">ROUND(E5*$D$2/365*F6,0)</f>
        <v>14433</v>
      </c>
      <c r="D6" s="131">
        <f t="shared" si="1"/>
        <v>14433</v>
      </c>
      <c r="E6" s="131">
        <f t="shared" ref="E6:E69" si="8">E5-B6</f>
        <v>9407500</v>
      </c>
      <c r="F6" s="120">
        <f>IF(G6=2,28,IF(OR(G6=4,G6=6,G6=9,G6=11),30,31))</f>
        <v>28</v>
      </c>
      <c r="G6" s="120">
        <f>IF(G5=12,1,G5+1)</f>
        <v>2</v>
      </c>
      <c r="H6" s="119"/>
      <c r="I6" s="121">
        <f>IF(G6&lt;&gt;1,I5+C6,C6)</f>
        <v>30413</v>
      </c>
      <c r="J6" s="121">
        <f>IF(G6&lt;&gt;1,J5+B6,B6)</f>
        <v>0</v>
      </c>
      <c r="L6" s="117">
        <v>2</v>
      </c>
      <c r="M6" s="130">
        <f t="shared" si="2"/>
        <v>0</v>
      </c>
      <c r="N6" s="131">
        <f t="shared" ref="N6:N37" si="9">ROUND(P5*$O$2/365*Q6,0)</f>
        <v>0</v>
      </c>
      <c r="O6" s="131">
        <f t="shared" si="3"/>
        <v>0</v>
      </c>
      <c r="P6" s="131">
        <f t="shared" ref="P6:P69" si="10">P5-M6</f>
        <v>0</v>
      </c>
      <c r="Q6" s="120">
        <f>IF(R6=2,28,IF(OR(R6=4,R6=6,R6=9,R6=11),30,31))</f>
        <v>28</v>
      </c>
      <c r="R6" s="120">
        <f>IF(R5=12,1,R5+1)</f>
        <v>2</v>
      </c>
      <c r="S6" s="119"/>
      <c r="T6" s="121">
        <f>IF(R6&lt;&gt;1,T5+N6,N6)</f>
        <v>0</v>
      </c>
      <c r="U6" s="121">
        <f>IF(R6&lt;&gt;1,U5+M6,M6)</f>
        <v>0</v>
      </c>
      <c r="W6" s="117">
        <v>2</v>
      </c>
      <c r="X6" s="130" t="str">
        <f t="shared" si="4"/>
        <v/>
      </c>
      <c r="Y6" s="131">
        <f t="shared" ref="Y6:Y37" si="11">ROUND(AA5*$Z$2/365*AB6,0)</f>
        <v>0</v>
      </c>
      <c r="Z6" s="131">
        <f t="shared" si="5"/>
        <v>0</v>
      </c>
      <c r="AA6" s="131">
        <f t="shared" ref="AA6:AA69" si="12">AA5-X6</f>
        <v>0</v>
      </c>
      <c r="AB6" s="120">
        <f>IF(AC6=2,28,IF(OR(AC6=4,AC6=6,AC6=9,AC6=11),30,31))</f>
        <v>28</v>
      </c>
      <c r="AC6" s="120">
        <f>IF(AC5=12,1,AC5+1)</f>
        <v>2</v>
      </c>
      <c r="AD6" s="119"/>
      <c r="AE6" s="121">
        <f>IF(AC6&lt;&gt;1,AE5+Y6,Y6)</f>
        <v>0</v>
      </c>
      <c r="AF6" s="121">
        <f>IF(AC6&lt;&gt;1,AF5+X6,X6)</f>
        <v>0</v>
      </c>
      <c r="AG6" s="117">
        <f>+AG5+1</f>
        <v>2</v>
      </c>
      <c r="AH6" s="171">
        <f t="shared" ref="AH6:AH69" si="13">+I6+T6+AE6</f>
        <v>30413</v>
      </c>
      <c r="AI6" s="171">
        <f t="shared" ref="AI6:AI69" si="14">+J6+U6+AF6</f>
        <v>0</v>
      </c>
      <c r="AJ6" s="171">
        <f t="shared" ref="AJ6:AJ69" si="15">+E6+P6+AA6</f>
        <v>9407500</v>
      </c>
      <c r="AL6" s="127" t="s">
        <v>113</v>
      </c>
      <c r="AM6" s="188">
        <f>VLOOKUP(AM$4,$AG$5:$AI$124,3,FALSE)</f>
        <v>495126</v>
      </c>
      <c r="AN6" s="188">
        <f>VLOOKUP(AN$4,$AG$5:$AI$124,3,FALSE)</f>
        <v>990252</v>
      </c>
      <c r="AO6" s="188">
        <f t="shared" ref="AO6:AV6" si="16">VLOOKUP(AO$4,$AG$5:$AI$124,3,FALSE)</f>
        <v>990252</v>
      </c>
      <c r="AP6" s="188">
        <f t="shared" si="16"/>
        <v>990252</v>
      </c>
      <c r="AQ6" s="188">
        <f t="shared" si="16"/>
        <v>990252</v>
      </c>
      <c r="AR6" s="188">
        <f t="shared" si="16"/>
        <v>990252</v>
      </c>
      <c r="AS6" s="188">
        <f t="shared" si="16"/>
        <v>990252</v>
      </c>
      <c r="AT6" s="188">
        <f t="shared" si="16"/>
        <v>990252</v>
      </c>
      <c r="AU6" s="188">
        <f t="shared" si="16"/>
        <v>990252</v>
      </c>
      <c r="AV6" s="188">
        <f t="shared" si="16"/>
        <v>990252</v>
      </c>
    </row>
    <row r="7" spans="1:48">
      <c r="A7" s="117">
        <v>3</v>
      </c>
      <c r="B7" s="130">
        <f t="shared" ref="B7:B70" si="17">IF(A7&gt;=$D$3+1,"",IF(A7&lt;$F$2+1,0,TRUNC($F$3/($D$3-$F$2))*1))</f>
        <v>0</v>
      </c>
      <c r="C7" s="131">
        <f t="shared" si="7"/>
        <v>15980</v>
      </c>
      <c r="D7" s="131">
        <f t="shared" si="1"/>
        <v>15980</v>
      </c>
      <c r="E7" s="131">
        <f t="shared" si="8"/>
        <v>9407500</v>
      </c>
      <c r="F7" s="120">
        <f t="shared" ref="F7:F70" si="18">IF(G7=2,28,IF(OR(G7=4,G7=6,G7=9,G7=11),30,31))</f>
        <v>31</v>
      </c>
      <c r="G7" s="120">
        <f t="shared" ref="G7:G70" si="19">IF(G6=12,1,G6+1)</f>
        <v>3</v>
      </c>
      <c r="H7" s="119"/>
      <c r="I7" s="121">
        <f t="shared" ref="I7:I70" si="20">IF(G7&lt;&gt;1,I6+C7,C7)</f>
        <v>46393</v>
      </c>
      <c r="J7" s="121">
        <f t="shared" ref="J7:J70" si="21">IF(G7&lt;&gt;1,J6+B7,B7)</f>
        <v>0</v>
      </c>
      <c r="L7" s="117">
        <v>3</v>
      </c>
      <c r="M7" s="130">
        <f t="shared" si="2"/>
        <v>0</v>
      </c>
      <c r="N7" s="131">
        <f t="shared" si="9"/>
        <v>0</v>
      </c>
      <c r="O7" s="131">
        <f t="shared" si="3"/>
        <v>0</v>
      </c>
      <c r="P7" s="131">
        <f t="shared" si="10"/>
        <v>0</v>
      </c>
      <c r="Q7" s="120">
        <f t="shared" ref="Q7:Q70" si="22">IF(R7=2,28,IF(OR(R7=4,R7=6,R7=9,R7=11),30,31))</f>
        <v>31</v>
      </c>
      <c r="R7" s="120">
        <f t="shared" ref="R7:R70" si="23">IF(R6=12,1,R6+1)</f>
        <v>3</v>
      </c>
      <c r="S7" s="119"/>
      <c r="T7" s="121">
        <f t="shared" ref="T7:T70" si="24">IF(R7&lt;&gt;1,T6+N7,N7)</f>
        <v>0</v>
      </c>
      <c r="U7" s="121">
        <f t="shared" ref="U7:U70" si="25">IF(R7&lt;&gt;1,U6+M7,M7)</f>
        <v>0</v>
      </c>
      <c r="W7" s="117">
        <v>3</v>
      </c>
      <c r="X7" s="130" t="str">
        <f t="shared" si="4"/>
        <v/>
      </c>
      <c r="Y7" s="131">
        <f t="shared" si="11"/>
        <v>0</v>
      </c>
      <c r="Z7" s="131">
        <f t="shared" si="5"/>
        <v>0</v>
      </c>
      <c r="AA7" s="131">
        <f t="shared" si="12"/>
        <v>0</v>
      </c>
      <c r="AB7" s="120">
        <f t="shared" ref="AB7:AB70" si="26">IF(AC7=2,28,IF(OR(AC7=4,AC7=6,AC7=9,AC7=11),30,31))</f>
        <v>31</v>
      </c>
      <c r="AC7" s="120">
        <f t="shared" ref="AC7:AC70" si="27">IF(AC6=12,1,AC6+1)</f>
        <v>3</v>
      </c>
      <c r="AD7" s="119"/>
      <c r="AE7" s="121">
        <f t="shared" ref="AE7:AE70" si="28">IF(AC7&lt;&gt;1,AE6+Y7,Y7)</f>
        <v>0</v>
      </c>
      <c r="AF7" s="121">
        <f t="shared" ref="AF7:AF70" si="29">IF(AC7&lt;&gt;1,AF6+X7,X7)</f>
        <v>0</v>
      </c>
      <c r="AG7" s="117">
        <f t="shared" ref="AG7:AG12" si="30">+AG6+1</f>
        <v>3</v>
      </c>
      <c r="AH7" s="171">
        <f t="shared" si="13"/>
        <v>46393</v>
      </c>
      <c r="AI7" s="171">
        <f t="shared" si="14"/>
        <v>0</v>
      </c>
      <c r="AJ7" s="171">
        <f t="shared" si="15"/>
        <v>9407500</v>
      </c>
      <c r="AL7" s="127" t="s">
        <v>114</v>
      </c>
      <c r="AM7" s="188">
        <f>VLOOKUP(AM$4,$AG$5:$AJ$124,4,FALSE)</f>
        <v>8912374</v>
      </c>
      <c r="AN7" s="188">
        <f t="shared" ref="AN7:AV7" si="31">VLOOKUP(AN$4,$AG$5:$AJ$124,4,FALSE)</f>
        <v>7922122</v>
      </c>
      <c r="AO7" s="188">
        <f t="shared" si="31"/>
        <v>6931870</v>
      </c>
      <c r="AP7" s="188">
        <f t="shared" si="31"/>
        <v>5941618</v>
      </c>
      <c r="AQ7" s="188">
        <f t="shared" si="31"/>
        <v>4951366</v>
      </c>
      <c r="AR7" s="188">
        <f t="shared" si="31"/>
        <v>3961114</v>
      </c>
      <c r="AS7" s="188">
        <f t="shared" si="31"/>
        <v>2970862</v>
      </c>
      <c r="AT7" s="188">
        <f t="shared" si="31"/>
        <v>1980610</v>
      </c>
      <c r="AU7" s="188">
        <f t="shared" si="31"/>
        <v>990358</v>
      </c>
      <c r="AV7" s="188">
        <f t="shared" si="31"/>
        <v>106</v>
      </c>
    </row>
    <row r="8" spans="1:48">
      <c r="A8" s="117">
        <v>4</v>
      </c>
      <c r="B8" s="130">
        <f t="shared" si="17"/>
        <v>0</v>
      </c>
      <c r="C8" s="131">
        <f t="shared" si="7"/>
        <v>15464</v>
      </c>
      <c r="D8" s="131">
        <f t="shared" si="1"/>
        <v>15464</v>
      </c>
      <c r="E8" s="131">
        <f t="shared" si="8"/>
        <v>9407500</v>
      </c>
      <c r="F8" s="120">
        <f t="shared" si="18"/>
        <v>30</v>
      </c>
      <c r="G8" s="120">
        <f t="shared" si="19"/>
        <v>4</v>
      </c>
      <c r="H8" s="119"/>
      <c r="I8" s="121">
        <f t="shared" si="20"/>
        <v>61857</v>
      </c>
      <c r="J8" s="121">
        <f t="shared" si="21"/>
        <v>0</v>
      </c>
      <c r="L8" s="117">
        <v>4</v>
      </c>
      <c r="M8" s="130">
        <f t="shared" si="2"/>
        <v>0</v>
      </c>
      <c r="N8" s="131">
        <f t="shared" si="9"/>
        <v>0</v>
      </c>
      <c r="O8" s="131">
        <f t="shared" si="3"/>
        <v>0</v>
      </c>
      <c r="P8" s="131">
        <f t="shared" si="10"/>
        <v>0</v>
      </c>
      <c r="Q8" s="120">
        <f t="shared" si="22"/>
        <v>30</v>
      </c>
      <c r="R8" s="120">
        <f t="shared" si="23"/>
        <v>4</v>
      </c>
      <c r="S8" s="119"/>
      <c r="T8" s="121">
        <f t="shared" si="24"/>
        <v>0</v>
      </c>
      <c r="U8" s="121">
        <f t="shared" si="25"/>
        <v>0</v>
      </c>
      <c r="W8" s="117">
        <v>4</v>
      </c>
      <c r="X8" s="130" t="str">
        <f t="shared" si="4"/>
        <v/>
      </c>
      <c r="Y8" s="131">
        <f t="shared" si="11"/>
        <v>0</v>
      </c>
      <c r="Z8" s="131">
        <f t="shared" si="5"/>
        <v>0</v>
      </c>
      <c r="AA8" s="131">
        <f t="shared" si="12"/>
        <v>0</v>
      </c>
      <c r="AB8" s="120">
        <f t="shared" si="26"/>
        <v>30</v>
      </c>
      <c r="AC8" s="120">
        <f t="shared" si="27"/>
        <v>4</v>
      </c>
      <c r="AD8" s="119"/>
      <c r="AE8" s="121">
        <f t="shared" si="28"/>
        <v>0</v>
      </c>
      <c r="AF8" s="121">
        <f t="shared" si="29"/>
        <v>0</v>
      </c>
      <c r="AG8" s="117">
        <f t="shared" si="30"/>
        <v>4</v>
      </c>
      <c r="AH8" s="171">
        <f t="shared" si="13"/>
        <v>61857</v>
      </c>
      <c r="AI8" s="171">
        <f t="shared" si="14"/>
        <v>0</v>
      </c>
      <c r="AJ8" s="171">
        <f t="shared" si="15"/>
        <v>9407500</v>
      </c>
      <c r="AM8" s="284">
        <f>+AM6+AM7</f>
        <v>9407500</v>
      </c>
    </row>
    <row r="9" spans="1:48">
      <c r="A9" s="117">
        <v>5</v>
      </c>
      <c r="B9" s="130">
        <f t="shared" si="17"/>
        <v>0</v>
      </c>
      <c r="C9" s="131">
        <f t="shared" si="7"/>
        <v>15980</v>
      </c>
      <c r="D9" s="131">
        <f t="shared" si="1"/>
        <v>15980</v>
      </c>
      <c r="E9" s="131">
        <f t="shared" si="8"/>
        <v>9407500</v>
      </c>
      <c r="F9" s="120">
        <f t="shared" si="18"/>
        <v>31</v>
      </c>
      <c r="G9" s="120">
        <f t="shared" si="19"/>
        <v>5</v>
      </c>
      <c r="H9" s="119"/>
      <c r="I9" s="121">
        <f t="shared" si="20"/>
        <v>77837</v>
      </c>
      <c r="J9" s="121">
        <f t="shared" si="21"/>
        <v>0</v>
      </c>
      <c r="L9" s="117">
        <v>5</v>
      </c>
      <c r="M9" s="130">
        <f t="shared" si="2"/>
        <v>0</v>
      </c>
      <c r="N9" s="131">
        <f t="shared" si="9"/>
        <v>0</v>
      </c>
      <c r="O9" s="131">
        <f t="shared" si="3"/>
        <v>0</v>
      </c>
      <c r="P9" s="131">
        <f t="shared" si="10"/>
        <v>0</v>
      </c>
      <c r="Q9" s="120">
        <f t="shared" si="22"/>
        <v>31</v>
      </c>
      <c r="R9" s="120">
        <f t="shared" si="23"/>
        <v>5</v>
      </c>
      <c r="S9" s="119"/>
      <c r="T9" s="121">
        <f t="shared" si="24"/>
        <v>0</v>
      </c>
      <c r="U9" s="121">
        <f t="shared" si="25"/>
        <v>0</v>
      </c>
      <c r="W9" s="117">
        <v>5</v>
      </c>
      <c r="X9" s="130" t="str">
        <f t="shared" si="4"/>
        <v/>
      </c>
      <c r="Y9" s="131">
        <f t="shared" si="11"/>
        <v>0</v>
      </c>
      <c r="Z9" s="131">
        <f t="shared" si="5"/>
        <v>0</v>
      </c>
      <c r="AA9" s="131">
        <f t="shared" si="12"/>
        <v>0</v>
      </c>
      <c r="AB9" s="120">
        <f t="shared" si="26"/>
        <v>31</v>
      </c>
      <c r="AC9" s="120">
        <f t="shared" si="27"/>
        <v>5</v>
      </c>
      <c r="AD9" s="119"/>
      <c r="AE9" s="121">
        <f t="shared" si="28"/>
        <v>0</v>
      </c>
      <c r="AF9" s="121">
        <f t="shared" si="29"/>
        <v>0</v>
      </c>
      <c r="AG9" s="117">
        <f t="shared" si="30"/>
        <v>5</v>
      </c>
      <c r="AH9" s="171">
        <f t="shared" si="13"/>
        <v>77837</v>
      </c>
      <c r="AI9" s="171">
        <f t="shared" si="14"/>
        <v>0</v>
      </c>
      <c r="AJ9" s="171">
        <f t="shared" si="15"/>
        <v>9407500</v>
      </c>
    </row>
    <row r="10" spans="1:48">
      <c r="A10" s="117">
        <v>6</v>
      </c>
      <c r="B10" s="130">
        <f t="shared" si="17"/>
        <v>0</v>
      </c>
      <c r="C10" s="131">
        <f t="shared" si="7"/>
        <v>15464</v>
      </c>
      <c r="D10" s="131">
        <f t="shared" si="1"/>
        <v>15464</v>
      </c>
      <c r="E10" s="131">
        <f t="shared" si="8"/>
        <v>9407500</v>
      </c>
      <c r="F10" s="120">
        <f t="shared" si="18"/>
        <v>30</v>
      </c>
      <c r="G10" s="120">
        <f t="shared" si="19"/>
        <v>6</v>
      </c>
      <c r="H10" s="119"/>
      <c r="I10" s="121">
        <f t="shared" si="20"/>
        <v>93301</v>
      </c>
      <c r="J10" s="121">
        <f t="shared" si="21"/>
        <v>0</v>
      </c>
      <c r="L10" s="117">
        <v>6</v>
      </c>
      <c r="M10" s="130">
        <f t="shared" si="2"/>
        <v>0</v>
      </c>
      <c r="N10" s="131">
        <f t="shared" si="9"/>
        <v>0</v>
      </c>
      <c r="O10" s="131">
        <f t="shared" si="3"/>
        <v>0</v>
      </c>
      <c r="P10" s="131">
        <f t="shared" si="10"/>
        <v>0</v>
      </c>
      <c r="Q10" s="120">
        <f t="shared" si="22"/>
        <v>30</v>
      </c>
      <c r="R10" s="120">
        <f t="shared" si="23"/>
        <v>6</v>
      </c>
      <c r="S10" s="119"/>
      <c r="T10" s="121">
        <f t="shared" si="24"/>
        <v>0</v>
      </c>
      <c r="U10" s="121">
        <f t="shared" si="25"/>
        <v>0</v>
      </c>
      <c r="W10" s="117">
        <v>6</v>
      </c>
      <c r="X10" s="130" t="str">
        <f t="shared" si="4"/>
        <v/>
      </c>
      <c r="Y10" s="131">
        <f t="shared" si="11"/>
        <v>0</v>
      </c>
      <c r="Z10" s="131">
        <f t="shared" si="5"/>
        <v>0</v>
      </c>
      <c r="AA10" s="131">
        <f t="shared" si="12"/>
        <v>0</v>
      </c>
      <c r="AB10" s="120">
        <f t="shared" si="26"/>
        <v>30</v>
      </c>
      <c r="AC10" s="120">
        <f t="shared" si="27"/>
        <v>6</v>
      </c>
      <c r="AD10" s="119"/>
      <c r="AE10" s="121">
        <f t="shared" si="28"/>
        <v>0</v>
      </c>
      <c r="AF10" s="121">
        <f t="shared" si="29"/>
        <v>0</v>
      </c>
      <c r="AG10" s="117">
        <f t="shared" si="30"/>
        <v>6</v>
      </c>
      <c r="AH10" s="171">
        <f t="shared" si="13"/>
        <v>93301</v>
      </c>
      <c r="AI10" s="171">
        <f t="shared" si="14"/>
        <v>0</v>
      </c>
      <c r="AJ10" s="171">
        <f t="shared" si="15"/>
        <v>9407500</v>
      </c>
    </row>
    <row r="11" spans="1:48">
      <c r="A11" s="117">
        <v>7</v>
      </c>
      <c r="B11" s="130">
        <f t="shared" si="17"/>
        <v>82521</v>
      </c>
      <c r="C11" s="131">
        <f t="shared" si="7"/>
        <v>15980</v>
      </c>
      <c r="D11" s="131">
        <f t="shared" si="1"/>
        <v>98501</v>
      </c>
      <c r="E11" s="131">
        <f t="shared" si="8"/>
        <v>9324979</v>
      </c>
      <c r="F11" s="120">
        <f t="shared" si="18"/>
        <v>31</v>
      </c>
      <c r="G11" s="120">
        <f t="shared" si="19"/>
        <v>7</v>
      </c>
      <c r="H11" s="119"/>
      <c r="I11" s="121">
        <f t="shared" si="20"/>
        <v>109281</v>
      </c>
      <c r="J11" s="121">
        <f t="shared" si="21"/>
        <v>82521</v>
      </c>
      <c r="L11" s="117">
        <v>7</v>
      </c>
      <c r="M11" s="130">
        <f t="shared" si="2"/>
        <v>0</v>
      </c>
      <c r="N11" s="131">
        <f t="shared" si="9"/>
        <v>0</v>
      </c>
      <c r="O11" s="131">
        <f t="shared" si="3"/>
        <v>0</v>
      </c>
      <c r="P11" s="131">
        <f t="shared" si="10"/>
        <v>0</v>
      </c>
      <c r="Q11" s="120">
        <f t="shared" si="22"/>
        <v>31</v>
      </c>
      <c r="R11" s="120">
        <f t="shared" si="23"/>
        <v>7</v>
      </c>
      <c r="S11" s="119"/>
      <c r="T11" s="121">
        <f t="shared" si="24"/>
        <v>0</v>
      </c>
      <c r="U11" s="121">
        <f t="shared" si="25"/>
        <v>0</v>
      </c>
      <c r="W11" s="117">
        <v>7</v>
      </c>
      <c r="X11" s="130" t="str">
        <f t="shared" si="4"/>
        <v/>
      </c>
      <c r="Y11" s="131">
        <f t="shared" si="11"/>
        <v>0</v>
      </c>
      <c r="Z11" s="131">
        <f t="shared" si="5"/>
        <v>0</v>
      </c>
      <c r="AA11" s="131">
        <f t="shared" si="12"/>
        <v>0</v>
      </c>
      <c r="AB11" s="120">
        <f t="shared" si="26"/>
        <v>31</v>
      </c>
      <c r="AC11" s="120">
        <f t="shared" si="27"/>
        <v>7</v>
      </c>
      <c r="AD11" s="119"/>
      <c r="AE11" s="121">
        <f t="shared" si="28"/>
        <v>0</v>
      </c>
      <c r="AF11" s="121">
        <f t="shared" si="29"/>
        <v>0</v>
      </c>
      <c r="AG11" s="117">
        <f t="shared" si="30"/>
        <v>7</v>
      </c>
      <c r="AH11" s="171">
        <f t="shared" si="13"/>
        <v>109281</v>
      </c>
      <c r="AI11" s="171">
        <f t="shared" si="14"/>
        <v>82521</v>
      </c>
      <c r="AJ11" s="171">
        <f t="shared" si="15"/>
        <v>9324979</v>
      </c>
    </row>
    <row r="12" spans="1:48">
      <c r="A12" s="117">
        <v>8</v>
      </c>
      <c r="B12" s="130">
        <f t="shared" si="17"/>
        <v>82521</v>
      </c>
      <c r="C12" s="131">
        <f t="shared" si="7"/>
        <v>15840</v>
      </c>
      <c r="D12" s="131">
        <f t="shared" si="1"/>
        <v>98361</v>
      </c>
      <c r="E12" s="131">
        <f t="shared" si="8"/>
        <v>9242458</v>
      </c>
      <c r="F12" s="120">
        <f t="shared" si="18"/>
        <v>31</v>
      </c>
      <c r="G12" s="120">
        <f t="shared" si="19"/>
        <v>8</v>
      </c>
      <c r="H12" s="119"/>
      <c r="I12" s="121">
        <f t="shared" si="20"/>
        <v>125121</v>
      </c>
      <c r="J12" s="121">
        <f t="shared" si="21"/>
        <v>165042</v>
      </c>
      <c r="L12" s="117">
        <v>8</v>
      </c>
      <c r="M12" s="130">
        <f t="shared" si="2"/>
        <v>0</v>
      </c>
      <c r="N12" s="131">
        <f t="shared" si="9"/>
        <v>0</v>
      </c>
      <c r="O12" s="131">
        <f t="shared" si="3"/>
        <v>0</v>
      </c>
      <c r="P12" s="131">
        <f t="shared" si="10"/>
        <v>0</v>
      </c>
      <c r="Q12" s="120">
        <f t="shared" si="22"/>
        <v>31</v>
      </c>
      <c r="R12" s="120">
        <f t="shared" si="23"/>
        <v>8</v>
      </c>
      <c r="S12" s="119"/>
      <c r="T12" s="121">
        <f t="shared" si="24"/>
        <v>0</v>
      </c>
      <c r="U12" s="121">
        <f t="shared" si="25"/>
        <v>0</v>
      </c>
      <c r="W12" s="117">
        <v>8</v>
      </c>
      <c r="X12" s="130" t="str">
        <f t="shared" si="4"/>
        <v/>
      </c>
      <c r="Y12" s="131">
        <f t="shared" si="11"/>
        <v>0</v>
      </c>
      <c r="Z12" s="131">
        <f t="shared" si="5"/>
        <v>0</v>
      </c>
      <c r="AA12" s="131">
        <f t="shared" si="12"/>
        <v>0</v>
      </c>
      <c r="AB12" s="120">
        <f t="shared" si="26"/>
        <v>31</v>
      </c>
      <c r="AC12" s="120">
        <f t="shared" si="27"/>
        <v>8</v>
      </c>
      <c r="AD12" s="119"/>
      <c r="AE12" s="121">
        <f t="shared" si="28"/>
        <v>0</v>
      </c>
      <c r="AF12" s="121">
        <f t="shared" si="29"/>
        <v>0</v>
      </c>
      <c r="AG12" s="117">
        <f t="shared" si="30"/>
        <v>8</v>
      </c>
      <c r="AH12" s="171">
        <f t="shared" si="13"/>
        <v>125121</v>
      </c>
      <c r="AI12" s="171">
        <f t="shared" si="14"/>
        <v>165042</v>
      </c>
      <c r="AJ12" s="171">
        <f t="shared" si="15"/>
        <v>9242458</v>
      </c>
      <c r="AM12" s="127" t="s">
        <v>182</v>
      </c>
      <c r="AN12" s="127" t="s">
        <v>183</v>
      </c>
      <c r="AO12" s="127" t="s">
        <v>184</v>
      </c>
      <c r="AP12" s="267" t="s">
        <v>186</v>
      </c>
      <c r="AQ12" s="267" t="s">
        <v>187</v>
      </c>
      <c r="AR12" s="267" t="s">
        <v>188</v>
      </c>
    </row>
    <row r="13" spans="1:48">
      <c r="A13" s="117">
        <v>9</v>
      </c>
      <c r="B13" s="130">
        <f t="shared" si="17"/>
        <v>82521</v>
      </c>
      <c r="C13" s="131">
        <f t="shared" si="7"/>
        <v>15193</v>
      </c>
      <c r="D13" s="131">
        <f t="shared" si="1"/>
        <v>97714</v>
      </c>
      <c r="E13" s="131">
        <f t="shared" si="8"/>
        <v>9159937</v>
      </c>
      <c r="F13" s="120">
        <f t="shared" si="18"/>
        <v>30</v>
      </c>
      <c r="G13" s="120">
        <f t="shared" si="19"/>
        <v>9</v>
      </c>
      <c r="H13" s="119"/>
      <c r="I13" s="121">
        <f t="shared" si="20"/>
        <v>140314</v>
      </c>
      <c r="J13" s="121">
        <f t="shared" si="21"/>
        <v>247563</v>
      </c>
      <c r="L13" s="117">
        <v>9</v>
      </c>
      <c r="M13" s="130">
        <f t="shared" si="2"/>
        <v>0</v>
      </c>
      <c r="N13" s="131">
        <f t="shared" si="9"/>
        <v>0</v>
      </c>
      <c r="O13" s="131">
        <f t="shared" si="3"/>
        <v>0</v>
      </c>
      <c r="P13" s="131">
        <f t="shared" si="10"/>
        <v>0</v>
      </c>
      <c r="Q13" s="120">
        <f t="shared" si="22"/>
        <v>30</v>
      </c>
      <c r="R13" s="120">
        <f t="shared" si="23"/>
        <v>9</v>
      </c>
      <c r="S13" s="119"/>
      <c r="T13" s="121">
        <f t="shared" si="24"/>
        <v>0</v>
      </c>
      <c r="U13" s="121">
        <f t="shared" si="25"/>
        <v>0</v>
      </c>
      <c r="W13" s="117">
        <v>9</v>
      </c>
      <c r="X13" s="130" t="str">
        <f t="shared" si="4"/>
        <v/>
      </c>
      <c r="Y13" s="131">
        <f t="shared" si="11"/>
        <v>0</v>
      </c>
      <c r="Z13" s="131">
        <f t="shared" si="5"/>
        <v>0</v>
      </c>
      <c r="AA13" s="131">
        <f t="shared" si="12"/>
        <v>0</v>
      </c>
      <c r="AB13" s="120">
        <f t="shared" si="26"/>
        <v>30</v>
      </c>
      <c r="AC13" s="120">
        <f t="shared" si="27"/>
        <v>9</v>
      </c>
      <c r="AD13" s="119"/>
      <c r="AE13" s="121">
        <f t="shared" si="28"/>
        <v>0</v>
      </c>
      <c r="AF13" s="121">
        <f t="shared" si="29"/>
        <v>0</v>
      </c>
      <c r="AG13" s="117">
        <f>+AG12+1</f>
        <v>9</v>
      </c>
      <c r="AH13" s="171">
        <f t="shared" si="13"/>
        <v>140314</v>
      </c>
      <c r="AI13" s="171">
        <f t="shared" si="14"/>
        <v>247563</v>
      </c>
      <c r="AJ13" s="171">
        <f t="shared" si="15"/>
        <v>9159937</v>
      </c>
      <c r="AL13" s="117">
        <f t="shared" ref="AL13:AL24" si="32">A5</f>
        <v>1</v>
      </c>
      <c r="AM13" s="127">
        <f t="shared" ref="AM13:AM24" si="33">B5</f>
        <v>0</v>
      </c>
      <c r="AN13" s="168">
        <f>M5</f>
        <v>0</v>
      </c>
      <c r="AO13" s="168">
        <f>+AM13+AN13</f>
        <v>0</v>
      </c>
      <c r="AP13" s="268">
        <f t="shared" ref="AP13:AP24" si="34">C5</f>
        <v>15980</v>
      </c>
      <c r="AQ13" s="268">
        <f t="shared" ref="AQ13:AQ24" si="35">N5</f>
        <v>0</v>
      </c>
      <c r="AR13" s="268">
        <f>+AP13+AQ13</f>
        <v>15980</v>
      </c>
    </row>
    <row r="14" spans="1:48">
      <c r="A14" s="117">
        <v>10</v>
      </c>
      <c r="B14" s="130">
        <f t="shared" si="17"/>
        <v>82521</v>
      </c>
      <c r="C14" s="131">
        <f t="shared" si="7"/>
        <v>15559</v>
      </c>
      <c r="D14" s="131">
        <f t="shared" si="1"/>
        <v>98080</v>
      </c>
      <c r="E14" s="131">
        <f t="shared" si="8"/>
        <v>9077416</v>
      </c>
      <c r="F14" s="120">
        <f t="shared" si="18"/>
        <v>31</v>
      </c>
      <c r="G14" s="120">
        <f t="shared" si="19"/>
        <v>10</v>
      </c>
      <c r="H14" s="119"/>
      <c r="I14" s="121">
        <f t="shared" si="20"/>
        <v>155873</v>
      </c>
      <c r="J14" s="121">
        <f t="shared" si="21"/>
        <v>330084</v>
      </c>
      <c r="L14" s="117">
        <v>10</v>
      </c>
      <c r="M14" s="130">
        <f t="shared" si="2"/>
        <v>0</v>
      </c>
      <c r="N14" s="131">
        <f t="shared" si="9"/>
        <v>0</v>
      </c>
      <c r="O14" s="131">
        <f t="shared" si="3"/>
        <v>0</v>
      </c>
      <c r="P14" s="131">
        <f t="shared" si="10"/>
        <v>0</v>
      </c>
      <c r="Q14" s="120">
        <f t="shared" si="22"/>
        <v>31</v>
      </c>
      <c r="R14" s="120">
        <f t="shared" si="23"/>
        <v>10</v>
      </c>
      <c r="S14" s="119"/>
      <c r="T14" s="121">
        <f t="shared" si="24"/>
        <v>0</v>
      </c>
      <c r="U14" s="121">
        <f t="shared" si="25"/>
        <v>0</v>
      </c>
      <c r="W14" s="117">
        <v>10</v>
      </c>
      <c r="X14" s="130" t="str">
        <f t="shared" si="4"/>
        <v/>
      </c>
      <c r="Y14" s="131">
        <f t="shared" si="11"/>
        <v>0</v>
      </c>
      <c r="Z14" s="131">
        <f t="shared" si="5"/>
        <v>0</v>
      </c>
      <c r="AA14" s="131">
        <f t="shared" si="12"/>
        <v>0</v>
      </c>
      <c r="AB14" s="120">
        <f t="shared" si="26"/>
        <v>31</v>
      </c>
      <c r="AC14" s="120">
        <f t="shared" si="27"/>
        <v>10</v>
      </c>
      <c r="AD14" s="119"/>
      <c r="AE14" s="121">
        <f t="shared" si="28"/>
        <v>0</v>
      </c>
      <c r="AF14" s="121">
        <f t="shared" si="29"/>
        <v>0</v>
      </c>
      <c r="AG14" s="117">
        <f>+AG13+1</f>
        <v>10</v>
      </c>
      <c r="AH14" s="171">
        <f t="shared" si="13"/>
        <v>155873</v>
      </c>
      <c r="AI14" s="171">
        <f t="shared" si="14"/>
        <v>330084</v>
      </c>
      <c r="AJ14" s="171">
        <f t="shared" si="15"/>
        <v>9077416</v>
      </c>
      <c r="AL14" s="117">
        <f t="shared" si="32"/>
        <v>2</v>
      </c>
      <c r="AM14" s="127">
        <f t="shared" si="33"/>
        <v>0</v>
      </c>
      <c r="AN14" s="168">
        <f t="shared" ref="AN14:AN24" si="36">M6</f>
        <v>0</v>
      </c>
      <c r="AO14" s="168">
        <f t="shared" ref="AO14:AO24" si="37">+AM14+AN14</f>
        <v>0</v>
      </c>
      <c r="AP14" s="268">
        <f t="shared" si="34"/>
        <v>14433</v>
      </c>
      <c r="AQ14" s="268">
        <f t="shared" si="35"/>
        <v>0</v>
      </c>
      <c r="AR14" s="268">
        <f t="shared" ref="AR14:AR24" si="38">+AP14+AQ14</f>
        <v>14433</v>
      </c>
    </row>
    <row r="15" spans="1:48">
      <c r="A15" s="117">
        <v>11</v>
      </c>
      <c r="B15" s="130">
        <f t="shared" si="17"/>
        <v>82521</v>
      </c>
      <c r="C15" s="131">
        <f t="shared" si="7"/>
        <v>14922</v>
      </c>
      <c r="D15" s="131">
        <f t="shared" si="1"/>
        <v>97443</v>
      </c>
      <c r="E15" s="131">
        <f t="shared" si="8"/>
        <v>8994895</v>
      </c>
      <c r="F15" s="120">
        <f t="shared" si="18"/>
        <v>30</v>
      </c>
      <c r="G15" s="120">
        <f t="shared" si="19"/>
        <v>11</v>
      </c>
      <c r="H15" s="119"/>
      <c r="I15" s="121">
        <f t="shared" si="20"/>
        <v>170795</v>
      </c>
      <c r="J15" s="121">
        <f t="shared" si="21"/>
        <v>412605</v>
      </c>
      <c r="L15" s="117">
        <v>11</v>
      </c>
      <c r="M15" s="130">
        <f t="shared" si="2"/>
        <v>0</v>
      </c>
      <c r="N15" s="131">
        <f t="shared" si="9"/>
        <v>0</v>
      </c>
      <c r="O15" s="131">
        <f t="shared" si="3"/>
        <v>0</v>
      </c>
      <c r="P15" s="131">
        <f t="shared" si="10"/>
        <v>0</v>
      </c>
      <c r="Q15" s="120">
        <f t="shared" si="22"/>
        <v>30</v>
      </c>
      <c r="R15" s="120">
        <f t="shared" si="23"/>
        <v>11</v>
      </c>
      <c r="S15" s="119"/>
      <c r="T15" s="121">
        <f t="shared" si="24"/>
        <v>0</v>
      </c>
      <c r="U15" s="121">
        <f t="shared" si="25"/>
        <v>0</v>
      </c>
      <c r="W15" s="117">
        <v>11</v>
      </c>
      <c r="X15" s="130" t="str">
        <f t="shared" si="4"/>
        <v/>
      </c>
      <c r="Y15" s="131">
        <f t="shared" si="11"/>
        <v>0</v>
      </c>
      <c r="Z15" s="131">
        <f t="shared" si="5"/>
        <v>0</v>
      </c>
      <c r="AA15" s="131">
        <f t="shared" si="12"/>
        <v>0</v>
      </c>
      <c r="AB15" s="120">
        <f t="shared" si="26"/>
        <v>30</v>
      </c>
      <c r="AC15" s="120">
        <f t="shared" si="27"/>
        <v>11</v>
      </c>
      <c r="AD15" s="119"/>
      <c r="AE15" s="121">
        <f t="shared" si="28"/>
        <v>0</v>
      </c>
      <c r="AF15" s="121">
        <f t="shared" si="29"/>
        <v>0</v>
      </c>
      <c r="AG15" s="117">
        <f t="shared" ref="AG15:AG25" si="39">+AG14+1</f>
        <v>11</v>
      </c>
      <c r="AH15" s="171">
        <f t="shared" si="13"/>
        <v>170795</v>
      </c>
      <c r="AI15" s="171">
        <f t="shared" si="14"/>
        <v>412605</v>
      </c>
      <c r="AJ15" s="171">
        <f t="shared" si="15"/>
        <v>8994895</v>
      </c>
      <c r="AL15" s="117">
        <f t="shared" si="32"/>
        <v>3</v>
      </c>
      <c r="AM15" s="127">
        <f t="shared" si="33"/>
        <v>0</v>
      </c>
      <c r="AN15" s="168">
        <f t="shared" si="36"/>
        <v>0</v>
      </c>
      <c r="AO15" s="168">
        <f t="shared" si="37"/>
        <v>0</v>
      </c>
      <c r="AP15" s="268">
        <f t="shared" si="34"/>
        <v>15980</v>
      </c>
      <c r="AQ15" s="268">
        <f t="shared" si="35"/>
        <v>0</v>
      </c>
      <c r="AR15" s="268">
        <f t="shared" si="38"/>
        <v>15980</v>
      </c>
    </row>
    <row r="16" spans="1:48">
      <c r="A16" s="117">
        <v>12</v>
      </c>
      <c r="B16" s="130">
        <f t="shared" si="17"/>
        <v>82521</v>
      </c>
      <c r="C16" s="131">
        <f t="shared" si="7"/>
        <v>15279</v>
      </c>
      <c r="D16" s="131">
        <f t="shared" si="1"/>
        <v>97800</v>
      </c>
      <c r="E16" s="131">
        <f t="shared" si="8"/>
        <v>8912374</v>
      </c>
      <c r="F16" s="120">
        <f t="shared" si="18"/>
        <v>31</v>
      </c>
      <c r="G16" s="120">
        <f t="shared" si="19"/>
        <v>12</v>
      </c>
      <c r="H16" s="119"/>
      <c r="I16" s="121">
        <f t="shared" si="20"/>
        <v>186074</v>
      </c>
      <c r="J16" s="121">
        <f t="shared" si="21"/>
        <v>495126</v>
      </c>
      <c r="L16" s="117">
        <v>12</v>
      </c>
      <c r="M16" s="130">
        <f t="shared" si="2"/>
        <v>0</v>
      </c>
      <c r="N16" s="131">
        <f t="shared" si="9"/>
        <v>0</v>
      </c>
      <c r="O16" s="131">
        <f t="shared" si="3"/>
        <v>0</v>
      </c>
      <c r="P16" s="131">
        <f t="shared" si="10"/>
        <v>0</v>
      </c>
      <c r="Q16" s="120">
        <f t="shared" si="22"/>
        <v>31</v>
      </c>
      <c r="R16" s="120">
        <f t="shared" si="23"/>
        <v>12</v>
      </c>
      <c r="S16" s="119"/>
      <c r="T16" s="121">
        <f t="shared" si="24"/>
        <v>0</v>
      </c>
      <c r="U16" s="121">
        <f t="shared" si="25"/>
        <v>0</v>
      </c>
      <c r="W16" s="117">
        <v>12</v>
      </c>
      <c r="X16" s="130" t="str">
        <f t="shared" si="4"/>
        <v/>
      </c>
      <c r="Y16" s="131">
        <f t="shared" si="11"/>
        <v>0</v>
      </c>
      <c r="Z16" s="131">
        <f t="shared" si="5"/>
        <v>0</v>
      </c>
      <c r="AA16" s="131">
        <f t="shared" si="12"/>
        <v>0</v>
      </c>
      <c r="AB16" s="120">
        <f t="shared" si="26"/>
        <v>31</v>
      </c>
      <c r="AC16" s="120">
        <f t="shared" si="27"/>
        <v>12</v>
      </c>
      <c r="AD16" s="119"/>
      <c r="AE16" s="121">
        <f t="shared" si="28"/>
        <v>0</v>
      </c>
      <c r="AF16" s="121">
        <f t="shared" si="29"/>
        <v>0</v>
      </c>
      <c r="AG16" s="117">
        <f t="shared" si="39"/>
        <v>12</v>
      </c>
      <c r="AH16" s="171">
        <f t="shared" si="13"/>
        <v>186074</v>
      </c>
      <c r="AI16" s="171">
        <f t="shared" si="14"/>
        <v>495126</v>
      </c>
      <c r="AJ16" s="171">
        <f t="shared" si="15"/>
        <v>8912374</v>
      </c>
      <c r="AL16" s="117">
        <f t="shared" si="32"/>
        <v>4</v>
      </c>
      <c r="AM16" s="127">
        <f t="shared" si="33"/>
        <v>0</v>
      </c>
      <c r="AN16" s="168">
        <f t="shared" si="36"/>
        <v>0</v>
      </c>
      <c r="AO16" s="168">
        <f t="shared" si="37"/>
        <v>0</v>
      </c>
      <c r="AP16" s="268">
        <f t="shared" si="34"/>
        <v>15464</v>
      </c>
      <c r="AQ16" s="268">
        <f t="shared" si="35"/>
        <v>0</v>
      </c>
      <c r="AR16" s="268">
        <f t="shared" si="38"/>
        <v>15464</v>
      </c>
    </row>
    <row r="17" spans="1:51">
      <c r="A17" s="117">
        <v>13</v>
      </c>
      <c r="B17" s="130">
        <f t="shared" si="17"/>
        <v>82521</v>
      </c>
      <c r="C17" s="131">
        <f t="shared" si="7"/>
        <v>15139</v>
      </c>
      <c r="D17" s="131">
        <f t="shared" si="1"/>
        <v>97660</v>
      </c>
      <c r="E17" s="131">
        <f t="shared" si="8"/>
        <v>8829853</v>
      </c>
      <c r="F17" s="120">
        <f t="shared" si="18"/>
        <v>31</v>
      </c>
      <c r="G17" s="120">
        <f t="shared" si="19"/>
        <v>1</v>
      </c>
      <c r="H17" s="119"/>
      <c r="I17" s="121">
        <f t="shared" si="20"/>
        <v>15139</v>
      </c>
      <c r="J17" s="121">
        <f t="shared" si="21"/>
        <v>82521</v>
      </c>
      <c r="L17" s="117">
        <v>13</v>
      </c>
      <c r="M17" s="130">
        <f t="shared" si="2"/>
        <v>0</v>
      </c>
      <c r="N17" s="131">
        <f t="shared" si="9"/>
        <v>0</v>
      </c>
      <c r="O17" s="131">
        <f t="shared" si="3"/>
        <v>0</v>
      </c>
      <c r="P17" s="131">
        <f t="shared" si="10"/>
        <v>0</v>
      </c>
      <c r="Q17" s="120">
        <f t="shared" si="22"/>
        <v>31</v>
      </c>
      <c r="R17" s="120">
        <f t="shared" si="23"/>
        <v>1</v>
      </c>
      <c r="S17" s="119"/>
      <c r="T17" s="121">
        <f t="shared" si="24"/>
        <v>0</v>
      </c>
      <c r="U17" s="121">
        <f t="shared" si="25"/>
        <v>0</v>
      </c>
      <c r="W17" s="117">
        <v>13</v>
      </c>
      <c r="X17" s="130" t="str">
        <f t="shared" si="4"/>
        <v/>
      </c>
      <c r="Y17" s="131">
        <f t="shared" si="11"/>
        <v>0</v>
      </c>
      <c r="Z17" s="131">
        <f t="shared" si="5"/>
        <v>0</v>
      </c>
      <c r="AA17" s="131">
        <f t="shared" si="12"/>
        <v>0</v>
      </c>
      <c r="AB17" s="120">
        <f t="shared" si="26"/>
        <v>31</v>
      </c>
      <c r="AC17" s="120">
        <f t="shared" si="27"/>
        <v>1</v>
      </c>
      <c r="AD17" s="119"/>
      <c r="AE17" s="121">
        <f t="shared" si="28"/>
        <v>0</v>
      </c>
      <c r="AF17" s="121" t="str">
        <f t="shared" si="29"/>
        <v/>
      </c>
      <c r="AG17" s="117">
        <f t="shared" si="39"/>
        <v>13</v>
      </c>
      <c r="AH17" s="171">
        <f t="shared" si="13"/>
        <v>15139</v>
      </c>
      <c r="AI17" s="171">
        <f t="shared" si="14"/>
        <v>82521</v>
      </c>
      <c r="AJ17" s="171">
        <f t="shared" si="15"/>
        <v>8829853</v>
      </c>
      <c r="AL17" s="117">
        <f t="shared" si="32"/>
        <v>5</v>
      </c>
      <c r="AM17" s="127">
        <f t="shared" si="33"/>
        <v>0</v>
      </c>
      <c r="AN17" s="168">
        <f t="shared" si="36"/>
        <v>0</v>
      </c>
      <c r="AO17" s="168">
        <f t="shared" si="37"/>
        <v>0</v>
      </c>
      <c r="AP17" s="268">
        <f t="shared" si="34"/>
        <v>15980</v>
      </c>
      <c r="AQ17" s="268">
        <f t="shared" si="35"/>
        <v>0</v>
      </c>
      <c r="AR17" s="268">
        <f t="shared" si="38"/>
        <v>15980</v>
      </c>
    </row>
    <row r="18" spans="1:51">
      <c r="A18" s="117">
        <v>14</v>
      </c>
      <c r="B18" s="130">
        <f t="shared" si="17"/>
        <v>82521</v>
      </c>
      <c r="C18" s="131">
        <f t="shared" si="7"/>
        <v>13547</v>
      </c>
      <c r="D18" s="131">
        <f t="shared" si="1"/>
        <v>96068</v>
      </c>
      <c r="E18" s="131">
        <f t="shared" si="8"/>
        <v>8747332</v>
      </c>
      <c r="F18" s="120">
        <f t="shared" si="18"/>
        <v>28</v>
      </c>
      <c r="G18" s="120">
        <f t="shared" si="19"/>
        <v>2</v>
      </c>
      <c r="H18" s="119"/>
      <c r="I18" s="121">
        <f t="shared" si="20"/>
        <v>28686</v>
      </c>
      <c r="J18" s="121">
        <f t="shared" si="21"/>
        <v>165042</v>
      </c>
      <c r="L18" s="117">
        <v>14</v>
      </c>
      <c r="M18" s="130">
        <f t="shared" si="2"/>
        <v>0</v>
      </c>
      <c r="N18" s="131">
        <f t="shared" si="9"/>
        <v>0</v>
      </c>
      <c r="O18" s="131">
        <f t="shared" si="3"/>
        <v>0</v>
      </c>
      <c r="P18" s="131">
        <f t="shared" si="10"/>
        <v>0</v>
      </c>
      <c r="Q18" s="120">
        <f t="shared" si="22"/>
        <v>28</v>
      </c>
      <c r="R18" s="120">
        <f t="shared" si="23"/>
        <v>2</v>
      </c>
      <c r="S18" s="119"/>
      <c r="T18" s="121">
        <f t="shared" si="24"/>
        <v>0</v>
      </c>
      <c r="U18" s="121">
        <f t="shared" si="25"/>
        <v>0</v>
      </c>
      <c r="W18" s="117">
        <v>14</v>
      </c>
      <c r="X18" s="130" t="str">
        <f t="shared" si="4"/>
        <v/>
      </c>
      <c r="Y18" s="131">
        <f t="shared" si="11"/>
        <v>0</v>
      </c>
      <c r="Z18" s="131">
        <f t="shared" si="5"/>
        <v>0</v>
      </c>
      <c r="AA18" s="131">
        <f t="shared" si="12"/>
        <v>0</v>
      </c>
      <c r="AB18" s="120">
        <f t="shared" si="26"/>
        <v>28</v>
      </c>
      <c r="AC18" s="120">
        <f t="shared" si="27"/>
        <v>2</v>
      </c>
      <c r="AD18" s="119"/>
      <c r="AE18" s="121">
        <f t="shared" si="28"/>
        <v>0</v>
      </c>
      <c r="AF18" s="121">
        <f t="shared" si="29"/>
        <v>0</v>
      </c>
      <c r="AG18" s="117">
        <f t="shared" si="39"/>
        <v>14</v>
      </c>
      <c r="AH18" s="171">
        <f t="shared" si="13"/>
        <v>28686</v>
      </c>
      <c r="AI18" s="171">
        <f t="shared" si="14"/>
        <v>165042</v>
      </c>
      <c r="AJ18" s="171">
        <f t="shared" si="15"/>
        <v>8747332</v>
      </c>
      <c r="AL18" s="117">
        <f t="shared" si="32"/>
        <v>6</v>
      </c>
      <c r="AM18" s="127">
        <f t="shared" si="33"/>
        <v>0</v>
      </c>
      <c r="AN18" s="168">
        <f t="shared" si="36"/>
        <v>0</v>
      </c>
      <c r="AO18" s="168">
        <f t="shared" si="37"/>
        <v>0</v>
      </c>
      <c r="AP18" s="268">
        <f t="shared" si="34"/>
        <v>15464</v>
      </c>
      <c r="AQ18" s="268">
        <f t="shared" si="35"/>
        <v>0</v>
      </c>
      <c r="AR18" s="268">
        <f t="shared" si="38"/>
        <v>15464</v>
      </c>
    </row>
    <row r="19" spans="1:51">
      <c r="A19" s="117">
        <v>15</v>
      </c>
      <c r="B19" s="130">
        <f t="shared" si="17"/>
        <v>82521</v>
      </c>
      <c r="C19" s="131">
        <f t="shared" si="7"/>
        <v>14858</v>
      </c>
      <c r="D19" s="131">
        <f t="shared" si="1"/>
        <v>97379</v>
      </c>
      <c r="E19" s="131">
        <f t="shared" si="8"/>
        <v>8664811</v>
      </c>
      <c r="F19" s="120">
        <f t="shared" si="18"/>
        <v>31</v>
      </c>
      <c r="G19" s="120">
        <f t="shared" si="19"/>
        <v>3</v>
      </c>
      <c r="H19" s="119"/>
      <c r="I19" s="121">
        <f t="shared" si="20"/>
        <v>43544</v>
      </c>
      <c r="J19" s="121">
        <f t="shared" si="21"/>
        <v>247563</v>
      </c>
      <c r="L19" s="117">
        <v>15</v>
      </c>
      <c r="M19" s="130">
        <f t="shared" si="2"/>
        <v>0</v>
      </c>
      <c r="N19" s="131">
        <f t="shared" si="9"/>
        <v>0</v>
      </c>
      <c r="O19" s="131">
        <f t="shared" si="3"/>
        <v>0</v>
      </c>
      <c r="P19" s="131">
        <f t="shared" si="10"/>
        <v>0</v>
      </c>
      <c r="Q19" s="120">
        <f t="shared" si="22"/>
        <v>31</v>
      </c>
      <c r="R19" s="120">
        <f t="shared" si="23"/>
        <v>3</v>
      </c>
      <c r="S19" s="119"/>
      <c r="T19" s="121">
        <f t="shared" si="24"/>
        <v>0</v>
      </c>
      <c r="U19" s="121">
        <f t="shared" si="25"/>
        <v>0</v>
      </c>
      <c r="W19" s="117">
        <v>15</v>
      </c>
      <c r="X19" s="130" t="str">
        <f t="shared" si="4"/>
        <v/>
      </c>
      <c r="Y19" s="131">
        <f t="shared" si="11"/>
        <v>0</v>
      </c>
      <c r="Z19" s="131">
        <f t="shared" si="5"/>
        <v>0</v>
      </c>
      <c r="AA19" s="131">
        <f t="shared" si="12"/>
        <v>0</v>
      </c>
      <c r="AB19" s="120">
        <f t="shared" si="26"/>
        <v>31</v>
      </c>
      <c r="AC19" s="120">
        <f t="shared" si="27"/>
        <v>3</v>
      </c>
      <c r="AD19" s="119"/>
      <c r="AE19" s="121">
        <f t="shared" si="28"/>
        <v>0</v>
      </c>
      <c r="AF19" s="121">
        <f t="shared" si="29"/>
        <v>0</v>
      </c>
      <c r="AG19" s="117">
        <f t="shared" si="39"/>
        <v>15</v>
      </c>
      <c r="AH19" s="171">
        <f t="shared" si="13"/>
        <v>43544</v>
      </c>
      <c r="AI19" s="171">
        <f t="shared" si="14"/>
        <v>247563</v>
      </c>
      <c r="AJ19" s="171">
        <f t="shared" si="15"/>
        <v>8664811</v>
      </c>
      <c r="AL19" s="117">
        <f t="shared" si="32"/>
        <v>7</v>
      </c>
      <c r="AM19" s="127">
        <f t="shared" si="33"/>
        <v>82521</v>
      </c>
      <c r="AN19" s="168">
        <f t="shared" si="36"/>
        <v>0</v>
      </c>
      <c r="AO19" s="168">
        <f t="shared" si="37"/>
        <v>82521</v>
      </c>
      <c r="AP19" s="268">
        <f t="shared" si="34"/>
        <v>15980</v>
      </c>
      <c r="AQ19" s="268">
        <f t="shared" si="35"/>
        <v>0</v>
      </c>
      <c r="AR19" s="268">
        <f t="shared" si="38"/>
        <v>15980</v>
      </c>
    </row>
    <row r="20" spans="1:51">
      <c r="A20" s="117">
        <v>16</v>
      </c>
      <c r="B20" s="130">
        <f t="shared" si="17"/>
        <v>82521</v>
      </c>
      <c r="C20" s="131">
        <f t="shared" si="7"/>
        <v>14244</v>
      </c>
      <c r="D20" s="131">
        <f t="shared" si="1"/>
        <v>96765</v>
      </c>
      <c r="E20" s="131">
        <f t="shared" si="8"/>
        <v>8582290</v>
      </c>
      <c r="F20" s="120">
        <f t="shared" si="18"/>
        <v>30</v>
      </c>
      <c r="G20" s="120">
        <f t="shared" si="19"/>
        <v>4</v>
      </c>
      <c r="H20" s="119"/>
      <c r="I20" s="121">
        <f t="shared" si="20"/>
        <v>57788</v>
      </c>
      <c r="J20" s="121">
        <f t="shared" si="21"/>
        <v>330084</v>
      </c>
      <c r="L20" s="117">
        <v>16</v>
      </c>
      <c r="M20" s="130">
        <f t="shared" si="2"/>
        <v>0</v>
      </c>
      <c r="N20" s="131">
        <f t="shared" si="9"/>
        <v>0</v>
      </c>
      <c r="O20" s="131">
        <f t="shared" si="3"/>
        <v>0</v>
      </c>
      <c r="P20" s="131">
        <f t="shared" si="10"/>
        <v>0</v>
      </c>
      <c r="Q20" s="120">
        <f t="shared" si="22"/>
        <v>30</v>
      </c>
      <c r="R20" s="120">
        <f t="shared" si="23"/>
        <v>4</v>
      </c>
      <c r="S20" s="119"/>
      <c r="T20" s="121">
        <f t="shared" si="24"/>
        <v>0</v>
      </c>
      <c r="U20" s="121">
        <f t="shared" si="25"/>
        <v>0</v>
      </c>
      <c r="W20" s="117">
        <v>16</v>
      </c>
      <c r="X20" s="130" t="str">
        <f t="shared" si="4"/>
        <v/>
      </c>
      <c r="Y20" s="131">
        <f t="shared" si="11"/>
        <v>0</v>
      </c>
      <c r="Z20" s="131">
        <f t="shared" si="5"/>
        <v>0</v>
      </c>
      <c r="AA20" s="131">
        <f t="shared" si="12"/>
        <v>0</v>
      </c>
      <c r="AB20" s="120">
        <f t="shared" si="26"/>
        <v>30</v>
      </c>
      <c r="AC20" s="120">
        <f t="shared" si="27"/>
        <v>4</v>
      </c>
      <c r="AD20" s="119"/>
      <c r="AE20" s="121">
        <f t="shared" si="28"/>
        <v>0</v>
      </c>
      <c r="AF20" s="121">
        <f t="shared" si="29"/>
        <v>0</v>
      </c>
      <c r="AG20" s="117">
        <f t="shared" si="39"/>
        <v>16</v>
      </c>
      <c r="AH20" s="171">
        <f t="shared" si="13"/>
        <v>57788</v>
      </c>
      <c r="AI20" s="171">
        <f t="shared" si="14"/>
        <v>330084</v>
      </c>
      <c r="AJ20" s="171">
        <f t="shared" si="15"/>
        <v>8582290</v>
      </c>
      <c r="AL20" s="117">
        <f t="shared" si="32"/>
        <v>8</v>
      </c>
      <c r="AM20" s="127">
        <f t="shared" si="33"/>
        <v>82521</v>
      </c>
      <c r="AN20" s="168">
        <f t="shared" si="36"/>
        <v>0</v>
      </c>
      <c r="AO20" s="168">
        <f t="shared" si="37"/>
        <v>82521</v>
      </c>
      <c r="AP20" s="268">
        <f t="shared" si="34"/>
        <v>15840</v>
      </c>
      <c r="AQ20" s="268">
        <f t="shared" si="35"/>
        <v>0</v>
      </c>
      <c r="AR20" s="268">
        <f t="shared" si="38"/>
        <v>15840</v>
      </c>
    </row>
    <row r="21" spans="1:51">
      <c r="A21" s="117">
        <v>17</v>
      </c>
      <c r="B21" s="130">
        <f t="shared" si="17"/>
        <v>82521</v>
      </c>
      <c r="C21" s="131">
        <f t="shared" si="7"/>
        <v>14578</v>
      </c>
      <c r="D21" s="131">
        <f t="shared" si="1"/>
        <v>97099</v>
      </c>
      <c r="E21" s="131">
        <f t="shared" si="8"/>
        <v>8499769</v>
      </c>
      <c r="F21" s="120">
        <f t="shared" si="18"/>
        <v>31</v>
      </c>
      <c r="G21" s="120">
        <f t="shared" si="19"/>
        <v>5</v>
      </c>
      <c r="H21" s="119"/>
      <c r="I21" s="121">
        <f t="shared" si="20"/>
        <v>72366</v>
      </c>
      <c r="J21" s="121">
        <f t="shared" si="21"/>
        <v>412605</v>
      </c>
      <c r="L21" s="117">
        <v>17</v>
      </c>
      <c r="M21" s="130">
        <f t="shared" si="2"/>
        <v>0</v>
      </c>
      <c r="N21" s="131">
        <f t="shared" si="9"/>
        <v>0</v>
      </c>
      <c r="O21" s="131">
        <f t="shared" si="3"/>
        <v>0</v>
      </c>
      <c r="P21" s="131">
        <f t="shared" si="10"/>
        <v>0</v>
      </c>
      <c r="Q21" s="120">
        <f t="shared" si="22"/>
        <v>31</v>
      </c>
      <c r="R21" s="120">
        <f t="shared" si="23"/>
        <v>5</v>
      </c>
      <c r="S21" s="119"/>
      <c r="T21" s="121">
        <f t="shared" si="24"/>
        <v>0</v>
      </c>
      <c r="U21" s="121">
        <f t="shared" si="25"/>
        <v>0</v>
      </c>
      <c r="W21" s="117">
        <v>17</v>
      </c>
      <c r="X21" s="130" t="str">
        <f t="shared" si="4"/>
        <v/>
      </c>
      <c r="Y21" s="131">
        <f t="shared" si="11"/>
        <v>0</v>
      </c>
      <c r="Z21" s="131">
        <f t="shared" si="5"/>
        <v>0</v>
      </c>
      <c r="AA21" s="131">
        <f t="shared" si="12"/>
        <v>0</v>
      </c>
      <c r="AB21" s="120">
        <f t="shared" si="26"/>
        <v>31</v>
      </c>
      <c r="AC21" s="120">
        <f t="shared" si="27"/>
        <v>5</v>
      </c>
      <c r="AD21" s="119"/>
      <c r="AE21" s="121">
        <f t="shared" si="28"/>
        <v>0</v>
      </c>
      <c r="AF21" s="121">
        <f t="shared" si="29"/>
        <v>0</v>
      </c>
      <c r="AG21" s="117">
        <f t="shared" si="39"/>
        <v>17</v>
      </c>
      <c r="AH21" s="171">
        <f t="shared" si="13"/>
        <v>72366</v>
      </c>
      <c r="AI21" s="171">
        <f t="shared" si="14"/>
        <v>412605</v>
      </c>
      <c r="AJ21" s="171">
        <f t="shared" si="15"/>
        <v>8499769</v>
      </c>
      <c r="AL21" s="117">
        <f t="shared" si="32"/>
        <v>9</v>
      </c>
      <c r="AM21" s="127">
        <f t="shared" si="33"/>
        <v>82521</v>
      </c>
      <c r="AN21" s="168">
        <f t="shared" si="36"/>
        <v>0</v>
      </c>
      <c r="AO21" s="168">
        <f t="shared" si="37"/>
        <v>82521</v>
      </c>
      <c r="AP21" s="268">
        <f t="shared" si="34"/>
        <v>15193</v>
      </c>
      <c r="AQ21" s="268">
        <f t="shared" si="35"/>
        <v>0</v>
      </c>
      <c r="AR21" s="268">
        <f t="shared" si="38"/>
        <v>15193</v>
      </c>
    </row>
    <row r="22" spans="1:51">
      <c r="A22" s="117">
        <v>18</v>
      </c>
      <c r="B22" s="130">
        <f t="shared" si="17"/>
        <v>82521</v>
      </c>
      <c r="C22" s="131">
        <f t="shared" si="7"/>
        <v>13972</v>
      </c>
      <c r="D22" s="131">
        <f t="shared" si="1"/>
        <v>96493</v>
      </c>
      <c r="E22" s="131">
        <f t="shared" si="8"/>
        <v>8417248</v>
      </c>
      <c r="F22" s="120">
        <f t="shared" si="18"/>
        <v>30</v>
      </c>
      <c r="G22" s="120">
        <f t="shared" si="19"/>
        <v>6</v>
      </c>
      <c r="H22" s="119"/>
      <c r="I22" s="121">
        <f t="shared" si="20"/>
        <v>86338</v>
      </c>
      <c r="J22" s="121">
        <f t="shared" si="21"/>
        <v>495126</v>
      </c>
      <c r="L22" s="117">
        <v>18</v>
      </c>
      <c r="M22" s="130">
        <f t="shared" si="2"/>
        <v>0</v>
      </c>
      <c r="N22" s="131">
        <f t="shared" si="9"/>
        <v>0</v>
      </c>
      <c r="O22" s="131">
        <f t="shared" si="3"/>
        <v>0</v>
      </c>
      <c r="P22" s="131">
        <f t="shared" si="10"/>
        <v>0</v>
      </c>
      <c r="Q22" s="120">
        <f t="shared" si="22"/>
        <v>30</v>
      </c>
      <c r="R22" s="120">
        <f t="shared" si="23"/>
        <v>6</v>
      </c>
      <c r="S22" s="119"/>
      <c r="T22" s="121">
        <f t="shared" si="24"/>
        <v>0</v>
      </c>
      <c r="U22" s="121">
        <f t="shared" si="25"/>
        <v>0</v>
      </c>
      <c r="W22" s="117">
        <v>18</v>
      </c>
      <c r="X22" s="130" t="str">
        <f t="shared" si="4"/>
        <v/>
      </c>
      <c r="Y22" s="131">
        <f t="shared" si="11"/>
        <v>0</v>
      </c>
      <c r="Z22" s="131">
        <f t="shared" si="5"/>
        <v>0</v>
      </c>
      <c r="AA22" s="131">
        <f t="shared" si="12"/>
        <v>0</v>
      </c>
      <c r="AB22" s="120">
        <f t="shared" si="26"/>
        <v>30</v>
      </c>
      <c r="AC22" s="120">
        <f t="shared" si="27"/>
        <v>6</v>
      </c>
      <c r="AD22" s="119"/>
      <c r="AE22" s="121">
        <f t="shared" si="28"/>
        <v>0</v>
      </c>
      <c r="AF22" s="121">
        <f t="shared" si="29"/>
        <v>0</v>
      </c>
      <c r="AG22" s="117">
        <f t="shared" si="39"/>
        <v>18</v>
      </c>
      <c r="AH22" s="171">
        <f t="shared" si="13"/>
        <v>86338</v>
      </c>
      <c r="AI22" s="171">
        <f t="shared" si="14"/>
        <v>495126</v>
      </c>
      <c r="AJ22" s="171">
        <f t="shared" si="15"/>
        <v>8417248</v>
      </c>
      <c r="AL22" s="117">
        <f t="shared" si="32"/>
        <v>10</v>
      </c>
      <c r="AM22" s="127">
        <f t="shared" si="33"/>
        <v>82521</v>
      </c>
      <c r="AN22" s="168">
        <f t="shared" si="36"/>
        <v>0</v>
      </c>
      <c r="AO22" s="168">
        <f t="shared" si="37"/>
        <v>82521</v>
      </c>
      <c r="AP22" s="268">
        <f t="shared" si="34"/>
        <v>15559</v>
      </c>
      <c r="AQ22" s="268">
        <f t="shared" si="35"/>
        <v>0</v>
      </c>
      <c r="AR22" s="268">
        <f t="shared" si="38"/>
        <v>15559</v>
      </c>
    </row>
    <row r="23" spans="1:51">
      <c r="A23" s="117">
        <v>19</v>
      </c>
      <c r="B23" s="130">
        <f t="shared" si="17"/>
        <v>82521</v>
      </c>
      <c r="C23" s="131">
        <f t="shared" si="7"/>
        <v>14298</v>
      </c>
      <c r="D23" s="131">
        <f t="shared" si="1"/>
        <v>96819</v>
      </c>
      <c r="E23" s="131">
        <f t="shared" si="8"/>
        <v>8334727</v>
      </c>
      <c r="F23" s="120">
        <f t="shared" si="18"/>
        <v>31</v>
      </c>
      <c r="G23" s="120">
        <f t="shared" si="19"/>
        <v>7</v>
      </c>
      <c r="H23" s="119"/>
      <c r="I23" s="121">
        <f t="shared" si="20"/>
        <v>100636</v>
      </c>
      <c r="J23" s="121">
        <f t="shared" si="21"/>
        <v>577647</v>
      </c>
      <c r="L23" s="117">
        <v>19</v>
      </c>
      <c r="M23" s="130">
        <f t="shared" si="2"/>
        <v>0</v>
      </c>
      <c r="N23" s="131">
        <f t="shared" si="9"/>
        <v>0</v>
      </c>
      <c r="O23" s="131">
        <f t="shared" si="3"/>
        <v>0</v>
      </c>
      <c r="P23" s="131">
        <f t="shared" si="10"/>
        <v>0</v>
      </c>
      <c r="Q23" s="120">
        <f t="shared" si="22"/>
        <v>31</v>
      </c>
      <c r="R23" s="120">
        <f t="shared" si="23"/>
        <v>7</v>
      </c>
      <c r="S23" s="119"/>
      <c r="T23" s="121">
        <f t="shared" si="24"/>
        <v>0</v>
      </c>
      <c r="U23" s="121">
        <f t="shared" si="25"/>
        <v>0</v>
      </c>
      <c r="W23" s="117">
        <v>19</v>
      </c>
      <c r="X23" s="130" t="str">
        <f t="shared" si="4"/>
        <v/>
      </c>
      <c r="Y23" s="131">
        <f t="shared" si="11"/>
        <v>0</v>
      </c>
      <c r="Z23" s="131">
        <f t="shared" si="5"/>
        <v>0</v>
      </c>
      <c r="AA23" s="131">
        <f t="shared" si="12"/>
        <v>0</v>
      </c>
      <c r="AB23" s="120">
        <f t="shared" si="26"/>
        <v>31</v>
      </c>
      <c r="AC23" s="120">
        <f t="shared" si="27"/>
        <v>7</v>
      </c>
      <c r="AD23" s="119"/>
      <c r="AE23" s="121">
        <f t="shared" si="28"/>
        <v>0</v>
      </c>
      <c r="AF23" s="121">
        <f t="shared" si="29"/>
        <v>0</v>
      </c>
      <c r="AG23" s="117">
        <f t="shared" si="39"/>
        <v>19</v>
      </c>
      <c r="AH23" s="171">
        <f t="shared" si="13"/>
        <v>100636</v>
      </c>
      <c r="AI23" s="171">
        <f t="shared" si="14"/>
        <v>577647</v>
      </c>
      <c r="AJ23" s="171">
        <f t="shared" si="15"/>
        <v>8334727</v>
      </c>
      <c r="AL23" s="117">
        <f t="shared" si="32"/>
        <v>11</v>
      </c>
      <c r="AM23" s="127">
        <f t="shared" si="33"/>
        <v>82521</v>
      </c>
      <c r="AN23" s="168">
        <f t="shared" si="36"/>
        <v>0</v>
      </c>
      <c r="AO23" s="168">
        <f t="shared" si="37"/>
        <v>82521</v>
      </c>
      <c r="AP23" s="268">
        <f t="shared" si="34"/>
        <v>14922</v>
      </c>
      <c r="AQ23" s="268">
        <f t="shared" si="35"/>
        <v>0</v>
      </c>
      <c r="AR23" s="268">
        <f t="shared" si="38"/>
        <v>14922</v>
      </c>
    </row>
    <row r="24" spans="1:51">
      <c r="A24" s="117">
        <v>20</v>
      </c>
      <c r="B24" s="130">
        <f t="shared" si="17"/>
        <v>82521</v>
      </c>
      <c r="C24" s="131">
        <f t="shared" si="7"/>
        <v>14158</v>
      </c>
      <c r="D24" s="131">
        <f t="shared" si="1"/>
        <v>96679</v>
      </c>
      <c r="E24" s="131">
        <f t="shared" si="8"/>
        <v>8252206</v>
      </c>
      <c r="F24" s="120">
        <f t="shared" si="18"/>
        <v>31</v>
      </c>
      <c r="G24" s="120">
        <f t="shared" si="19"/>
        <v>8</v>
      </c>
      <c r="H24" s="119"/>
      <c r="I24" s="121">
        <f t="shared" si="20"/>
        <v>114794</v>
      </c>
      <c r="J24" s="121">
        <f t="shared" si="21"/>
        <v>660168</v>
      </c>
      <c r="L24" s="117">
        <v>20</v>
      </c>
      <c r="M24" s="130">
        <f t="shared" si="2"/>
        <v>0</v>
      </c>
      <c r="N24" s="131">
        <f t="shared" si="9"/>
        <v>0</v>
      </c>
      <c r="O24" s="131">
        <f t="shared" si="3"/>
        <v>0</v>
      </c>
      <c r="P24" s="131">
        <f t="shared" si="10"/>
        <v>0</v>
      </c>
      <c r="Q24" s="120">
        <f t="shared" si="22"/>
        <v>31</v>
      </c>
      <c r="R24" s="120">
        <f t="shared" si="23"/>
        <v>8</v>
      </c>
      <c r="S24" s="119"/>
      <c r="T24" s="121">
        <f t="shared" si="24"/>
        <v>0</v>
      </c>
      <c r="U24" s="121">
        <f t="shared" si="25"/>
        <v>0</v>
      </c>
      <c r="W24" s="117">
        <v>20</v>
      </c>
      <c r="X24" s="130" t="str">
        <f t="shared" si="4"/>
        <v/>
      </c>
      <c r="Y24" s="131">
        <f t="shared" si="11"/>
        <v>0</v>
      </c>
      <c r="Z24" s="131">
        <f t="shared" si="5"/>
        <v>0</v>
      </c>
      <c r="AA24" s="131">
        <f t="shared" si="12"/>
        <v>0</v>
      </c>
      <c r="AB24" s="120">
        <f t="shared" si="26"/>
        <v>31</v>
      </c>
      <c r="AC24" s="120">
        <f t="shared" si="27"/>
        <v>8</v>
      </c>
      <c r="AD24" s="119"/>
      <c r="AE24" s="121">
        <f t="shared" si="28"/>
        <v>0</v>
      </c>
      <c r="AF24" s="121">
        <f t="shared" si="29"/>
        <v>0</v>
      </c>
      <c r="AG24" s="117">
        <f t="shared" si="39"/>
        <v>20</v>
      </c>
      <c r="AH24" s="171">
        <f t="shared" si="13"/>
        <v>114794</v>
      </c>
      <c r="AI24" s="171">
        <f t="shared" si="14"/>
        <v>660168</v>
      </c>
      <c r="AJ24" s="171">
        <f t="shared" si="15"/>
        <v>8252206</v>
      </c>
      <c r="AL24" s="117">
        <f t="shared" si="32"/>
        <v>12</v>
      </c>
      <c r="AM24" s="127">
        <f t="shared" si="33"/>
        <v>82521</v>
      </c>
      <c r="AN24" s="168">
        <f t="shared" si="36"/>
        <v>0</v>
      </c>
      <c r="AO24" s="168">
        <f t="shared" si="37"/>
        <v>82521</v>
      </c>
      <c r="AP24" s="268">
        <f t="shared" si="34"/>
        <v>15279</v>
      </c>
      <c r="AQ24" s="268">
        <f t="shared" si="35"/>
        <v>0</v>
      </c>
      <c r="AR24" s="268">
        <f t="shared" si="38"/>
        <v>15279</v>
      </c>
    </row>
    <row r="25" spans="1:51">
      <c r="A25" s="117">
        <v>21</v>
      </c>
      <c r="B25" s="130">
        <f t="shared" si="17"/>
        <v>82521</v>
      </c>
      <c r="C25" s="131">
        <f t="shared" si="7"/>
        <v>13565</v>
      </c>
      <c r="D25" s="131">
        <f t="shared" si="1"/>
        <v>96086</v>
      </c>
      <c r="E25" s="131">
        <f t="shared" si="8"/>
        <v>8169685</v>
      </c>
      <c r="F25" s="120">
        <f t="shared" si="18"/>
        <v>30</v>
      </c>
      <c r="G25" s="120">
        <f t="shared" si="19"/>
        <v>9</v>
      </c>
      <c r="H25" s="119"/>
      <c r="I25" s="121">
        <f t="shared" si="20"/>
        <v>128359</v>
      </c>
      <c r="J25" s="121">
        <f t="shared" si="21"/>
        <v>742689</v>
      </c>
      <c r="L25" s="117">
        <v>21</v>
      </c>
      <c r="M25" s="130">
        <f t="shared" si="2"/>
        <v>0</v>
      </c>
      <c r="N25" s="131">
        <f t="shared" si="9"/>
        <v>0</v>
      </c>
      <c r="O25" s="131">
        <f t="shared" si="3"/>
        <v>0</v>
      </c>
      <c r="P25" s="131">
        <f t="shared" si="10"/>
        <v>0</v>
      </c>
      <c r="Q25" s="120">
        <f t="shared" si="22"/>
        <v>30</v>
      </c>
      <c r="R25" s="120">
        <f t="shared" si="23"/>
        <v>9</v>
      </c>
      <c r="S25" s="119"/>
      <c r="T25" s="121">
        <f t="shared" si="24"/>
        <v>0</v>
      </c>
      <c r="U25" s="121">
        <f t="shared" si="25"/>
        <v>0</v>
      </c>
      <c r="W25" s="117">
        <v>21</v>
      </c>
      <c r="X25" s="130" t="str">
        <f t="shared" si="4"/>
        <v/>
      </c>
      <c r="Y25" s="131">
        <f t="shared" si="11"/>
        <v>0</v>
      </c>
      <c r="Z25" s="131">
        <f t="shared" si="5"/>
        <v>0</v>
      </c>
      <c r="AA25" s="131">
        <f t="shared" si="12"/>
        <v>0</v>
      </c>
      <c r="AB25" s="120">
        <f t="shared" si="26"/>
        <v>30</v>
      </c>
      <c r="AC25" s="120">
        <f t="shared" si="27"/>
        <v>9</v>
      </c>
      <c r="AD25" s="119"/>
      <c r="AE25" s="121">
        <f t="shared" si="28"/>
        <v>0</v>
      </c>
      <c r="AF25" s="121">
        <f t="shared" si="29"/>
        <v>0</v>
      </c>
      <c r="AG25" s="117">
        <f t="shared" si="39"/>
        <v>21</v>
      </c>
      <c r="AH25" s="171">
        <f t="shared" si="13"/>
        <v>128359</v>
      </c>
      <c r="AI25" s="171">
        <f t="shared" si="14"/>
        <v>742689</v>
      </c>
      <c r="AJ25" s="171">
        <f t="shared" si="15"/>
        <v>8169685</v>
      </c>
    </row>
    <row r="26" spans="1:51">
      <c r="A26" s="117">
        <v>22</v>
      </c>
      <c r="B26" s="130">
        <f t="shared" si="17"/>
        <v>82521</v>
      </c>
      <c r="C26" s="131">
        <f t="shared" si="7"/>
        <v>13877</v>
      </c>
      <c r="D26" s="131">
        <f t="shared" si="1"/>
        <v>96398</v>
      </c>
      <c r="E26" s="131">
        <f t="shared" si="8"/>
        <v>8087164</v>
      </c>
      <c r="F26" s="120">
        <f t="shared" si="18"/>
        <v>31</v>
      </c>
      <c r="G26" s="120">
        <f t="shared" si="19"/>
        <v>10</v>
      </c>
      <c r="H26" s="119"/>
      <c r="I26" s="121">
        <f t="shared" si="20"/>
        <v>142236</v>
      </c>
      <c r="J26" s="121">
        <f t="shared" si="21"/>
        <v>825210</v>
      </c>
      <c r="L26" s="117">
        <v>22</v>
      </c>
      <c r="M26" s="130">
        <f t="shared" si="2"/>
        <v>0</v>
      </c>
      <c r="N26" s="131">
        <f t="shared" si="9"/>
        <v>0</v>
      </c>
      <c r="O26" s="131">
        <f t="shared" si="3"/>
        <v>0</v>
      </c>
      <c r="P26" s="131">
        <f t="shared" si="10"/>
        <v>0</v>
      </c>
      <c r="Q26" s="120">
        <f t="shared" si="22"/>
        <v>31</v>
      </c>
      <c r="R26" s="120">
        <f t="shared" si="23"/>
        <v>10</v>
      </c>
      <c r="S26" s="119"/>
      <c r="T26" s="121">
        <f t="shared" si="24"/>
        <v>0</v>
      </c>
      <c r="U26" s="121">
        <f t="shared" si="25"/>
        <v>0</v>
      </c>
      <c r="W26" s="117">
        <v>22</v>
      </c>
      <c r="X26" s="130" t="str">
        <f t="shared" si="4"/>
        <v/>
      </c>
      <c r="Y26" s="131">
        <f t="shared" si="11"/>
        <v>0</v>
      </c>
      <c r="Z26" s="131">
        <f t="shared" si="5"/>
        <v>0</v>
      </c>
      <c r="AA26" s="131">
        <f t="shared" si="12"/>
        <v>0</v>
      </c>
      <c r="AB26" s="120">
        <f t="shared" si="26"/>
        <v>31</v>
      </c>
      <c r="AC26" s="120">
        <f t="shared" si="27"/>
        <v>10</v>
      </c>
      <c r="AD26" s="119"/>
      <c r="AE26" s="121">
        <f t="shared" si="28"/>
        <v>0</v>
      </c>
      <c r="AF26" s="121">
        <f t="shared" si="29"/>
        <v>0</v>
      </c>
      <c r="AG26" s="117">
        <f>+AG25+1</f>
        <v>22</v>
      </c>
      <c r="AH26" s="171">
        <f t="shared" si="13"/>
        <v>142236</v>
      </c>
      <c r="AI26" s="171">
        <f t="shared" si="14"/>
        <v>825210</v>
      </c>
      <c r="AJ26" s="171">
        <f t="shared" si="15"/>
        <v>8087164</v>
      </c>
    </row>
    <row r="27" spans="1:51">
      <c r="A27" s="117">
        <v>23</v>
      </c>
      <c r="B27" s="130">
        <f t="shared" si="17"/>
        <v>82521</v>
      </c>
      <c r="C27" s="131">
        <f t="shared" si="7"/>
        <v>13294</v>
      </c>
      <c r="D27" s="131">
        <f t="shared" si="1"/>
        <v>95815</v>
      </c>
      <c r="E27" s="131">
        <f t="shared" si="8"/>
        <v>8004643</v>
      </c>
      <c r="F27" s="120">
        <f t="shared" si="18"/>
        <v>30</v>
      </c>
      <c r="G27" s="120">
        <f t="shared" si="19"/>
        <v>11</v>
      </c>
      <c r="H27" s="119"/>
      <c r="I27" s="121">
        <f t="shared" si="20"/>
        <v>155530</v>
      </c>
      <c r="J27" s="121">
        <f t="shared" si="21"/>
        <v>907731</v>
      </c>
      <c r="L27" s="117">
        <v>23</v>
      </c>
      <c r="M27" s="130">
        <f t="shared" si="2"/>
        <v>0</v>
      </c>
      <c r="N27" s="131">
        <f t="shared" si="9"/>
        <v>0</v>
      </c>
      <c r="O27" s="131">
        <f t="shared" si="3"/>
        <v>0</v>
      </c>
      <c r="P27" s="131">
        <f t="shared" si="10"/>
        <v>0</v>
      </c>
      <c r="Q27" s="120">
        <f t="shared" si="22"/>
        <v>30</v>
      </c>
      <c r="R27" s="120">
        <f t="shared" si="23"/>
        <v>11</v>
      </c>
      <c r="S27" s="119"/>
      <c r="T27" s="121">
        <f t="shared" si="24"/>
        <v>0</v>
      </c>
      <c r="U27" s="121">
        <f t="shared" si="25"/>
        <v>0</v>
      </c>
      <c r="W27" s="117">
        <v>23</v>
      </c>
      <c r="X27" s="130" t="str">
        <f t="shared" si="4"/>
        <v/>
      </c>
      <c r="Y27" s="131">
        <f t="shared" si="11"/>
        <v>0</v>
      </c>
      <c r="Z27" s="131">
        <f t="shared" si="5"/>
        <v>0</v>
      </c>
      <c r="AA27" s="131">
        <f t="shared" si="12"/>
        <v>0</v>
      </c>
      <c r="AB27" s="120">
        <f t="shared" si="26"/>
        <v>30</v>
      </c>
      <c r="AC27" s="120">
        <f t="shared" si="27"/>
        <v>11</v>
      </c>
      <c r="AD27" s="119"/>
      <c r="AE27" s="121">
        <f t="shared" si="28"/>
        <v>0</v>
      </c>
      <c r="AF27" s="121">
        <f t="shared" si="29"/>
        <v>0</v>
      </c>
      <c r="AG27" s="117">
        <f t="shared" ref="AG27:AG32" si="40">+AG26+1</f>
        <v>23</v>
      </c>
      <c r="AH27" s="171">
        <f t="shared" si="13"/>
        <v>155530</v>
      </c>
      <c r="AI27" s="171">
        <f t="shared" si="14"/>
        <v>907731</v>
      </c>
      <c r="AJ27" s="171">
        <f t="shared" si="15"/>
        <v>8004643</v>
      </c>
    </row>
    <row r="28" spans="1:51">
      <c r="A28" s="117">
        <v>24</v>
      </c>
      <c r="B28" s="130">
        <f t="shared" si="17"/>
        <v>82521</v>
      </c>
      <c r="C28" s="131">
        <f t="shared" si="7"/>
        <v>13597</v>
      </c>
      <c r="D28" s="131">
        <f t="shared" si="1"/>
        <v>96118</v>
      </c>
      <c r="E28" s="131">
        <f t="shared" si="8"/>
        <v>7922122</v>
      </c>
      <c r="F28" s="120">
        <f t="shared" si="18"/>
        <v>31</v>
      </c>
      <c r="G28" s="120">
        <f t="shared" si="19"/>
        <v>12</v>
      </c>
      <c r="H28" s="119"/>
      <c r="I28" s="121">
        <f t="shared" si="20"/>
        <v>169127</v>
      </c>
      <c r="J28" s="121">
        <f t="shared" si="21"/>
        <v>990252</v>
      </c>
      <c r="L28" s="117">
        <v>24</v>
      </c>
      <c r="M28" s="130">
        <f t="shared" si="2"/>
        <v>0</v>
      </c>
      <c r="N28" s="131">
        <f t="shared" si="9"/>
        <v>0</v>
      </c>
      <c r="O28" s="131">
        <f t="shared" si="3"/>
        <v>0</v>
      </c>
      <c r="P28" s="131">
        <f t="shared" si="10"/>
        <v>0</v>
      </c>
      <c r="Q28" s="120">
        <f t="shared" si="22"/>
        <v>31</v>
      </c>
      <c r="R28" s="120">
        <f t="shared" si="23"/>
        <v>12</v>
      </c>
      <c r="S28" s="119"/>
      <c r="T28" s="121">
        <f t="shared" si="24"/>
        <v>0</v>
      </c>
      <c r="U28" s="121">
        <f t="shared" si="25"/>
        <v>0</v>
      </c>
      <c r="W28" s="117">
        <v>24</v>
      </c>
      <c r="X28" s="130" t="str">
        <f t="shared" si="4"/>
        <v/>
      </c>
      <c r="Y28" s="131">
        <f t="shared" si="11"/>
        <v>0</v>
      </c>
      <c r="Z28" s="131">
        <f t="shared" si="5"/>
        <v>0</v>
      </c>
      <c r="AA28" s="131">
        <f t="shared" si="12"/>
        <v>0</v>
      </c>
      <c r="AB28" s="120">
        <f t="shared" si="26"/>
        <v>31</v>
      </c>
      <c r="AC28" s="120">
        <f t="shared" si="27"/>
        <v>12</v>
      </c>
      <c r="AD28" s="119"/>
      <c r="AE28" s="121">
        <f t="shared" si="28"/>
        <v>0</v>
      </c>
      <c r="AF28" s="121">
        <f t="shared" si="29"/>
        <v>0</v>
      </c>
      <c r="AG28" s="117">
        <f t="shared" si="40"/>
        <v>24</v>
      </c>
      <c r="AH28" s="171">
        <f t="shared" si="13"/>
        <v>169127</v>
      </c>
      <c r="AI28" s="171">
        <f t="shared" si="14"/>
        <v>990252</v>
      </c>
      <c r="AJ28" s="171">
        <f t="shared" si="15"/>
        <v>7922122</v>
      </c>
      <c r="AL28" s="263" t="s">
        <v>180</v>
      </c>
      <c r="AM28" s="127">
        <v>1</v>
      </c>
      <c r="AN28" s="127">
        <v>2</v>
      </c>
      <c r="AO28" s="127">
        <v>3</v>
      </c>
      <c r="AP28" s="127">
        <v>4</v>
      </c>
      <c r="AQ28" s="127">
        <v>5</v>
      </c>
      <c r="AR28" s="127">
        <v>6</v>
      </c>
      <c r="AS28" s="127">
        <v>7</v>
      </c>
      <c r="AT28" s="127">
        <v>8</v>
      </c>
      <c r="AU28" s="127">
        <v>9</v>
      </c>
      <c r="AV28" s="127">
        <v>10</v>
      </c>
      <c r="AW28" s="127">
        <v>11</v>
      </c>
      <c r="AX28" s="127">
        <v>12</v>
      </c>
    </row>
    <row r="29" spans="1:51">
      <c r="A29" s="117">
        <v>25</v>
      </c>
      <c r="B29" s="130">
        <f t="shared" si="17"/>
        <v>82521</v>
      </c>
      <c r="C29" s="131">
        <f t="shared" si="7"/>
        <v>13457</v>
      </c>
      <c r="D29" s="131">
        <f t="shared" si="1"/>
        <v>95978</v>
      </c>
      <c r="E29" s="131">
        <f t="shared" si="8"/>
        <v>7839601</v>
      </c>
      <c r="F29" s="120">
        <f t="shared" si="18"/>
        <v>31</v>
      </c>
      <c r="G29" s="120">
        <f t="shared" si="19"/>
        <v>1</v>
      </c>
      <c r="H29" s="119"/>
      <c r="I29" s="121">
        <f t="shared" si="20"/>
        <v>13457</v>
      </c>
      <c r="J29" s="121">
        <f t="shared" si="21"/>
        <v>82521</v>
      </c>
      <c r="L29" s="117">
        <v>25</v>
      </c>
      <c r="M29" s="130">
        <f t="shared" si="2"/>
        <v>0</v>
      </c>
      <c r="N29" s="131">
        <f t="shared" si="9"/>
        <v>0</v>
      </c>
      <c r="O29" s="131">
        <f t="shared" si="3"/>
        <v>0</v>
      </c>
      <c r="P29" s="131">
        <f t="shared" si="10"/>
        <v>0</v>
      </c>
      <c r="Q29" s="120">
        <f t="shared" si="22"/>
        <v>31</v>
      </c>
      <c r="R29" s="120">
        <f t="shared" si="23"/>
        <v>1</v>
      </c>
      <c r="S29" s="119"/>
      <c r="T29" s="121">
        <f t="shared" si="24"/>
        <v>0</v>
      </c>
      <c r="U29" s="121">
        <f t="shared" si="25"/>
        <v>0</v>
      </c>
      <c r="W29" s="117">
        <v>25</v>
      </c>
      <c r="X29" s="130" t="str">
        <f t="shared" si="4"/>
        <v/>
      </c>
      <c r="Y29" s="131">
        <f t="shared" si="11"/>
        <v>0</v>
      </c>
      <c r="Z29" s="131">
        <f t="shared" si="5"/>
        <v>0</v>
      </c>
      <c r="AA29" s="131">
        <f t="shared" si="12"/>
        <v>0</v>
      </c>
      <c r="AB29" s="120">
        <f t="shared" si="26"/>
        <v>31</v>
      </c>
      <c r="AC29" s="120">
        <f t="shared" si="27"/>
        <v>1</v>
      </c>
      <c r="AD29" s="119"/>
      <c r="AE29" s="121">
        <f t="shared" si="28"/>
        <v>0</v>
      </c>
      <c r="AF29" s="121" t="str">
        <f t="shared" si="29"/>
        <v/>
      </c>
      <c r="AG29" s="117">
        <f t="shared" si="40"/>
        <v>25</v>
      </c>
      <c r="AH29" s="171">
        <f t="shared" si="13"/>
        <v>13457</v>
      </c>
      <c r="AI29" s="171">
        <f t="shared" si="14"/>
        <v>82521</v>
      </c>
      <c r="AJ29" s="171">
        <f t="shared" si="15"/>
        <v>7839601</v>
      </c>
      <c r="AL29" s="263" t="s">
        <v>181</v>
      </c>
      <c r="AM29" s="168">
        <f>+AO13</f>
        <v>0</v>
      </c>
      <c r="AN29" s="168">
        <f>+AO14</f>
        <v>0</v>
      </c>
      <c r="AO29" s="168">
        <f>+AO15</f>
        <v>0</v>
      </c>
      <c r="AP29" s="168">
        <f>+AO16</f>
        <v>0</v>
      </c>
      <c r="AQ29" s="168">
        <f>+AO17</f>
        <v>0</v>
      </c>
      <c r="AR29" s="168">
        <f>+AO18</f>
        <v>0</v>
      </c>
      <c r="AS29" s="168">
        <f>+AO19</f>
        <v>82521</v>
      </c>
      <c r="AT29" s="168">
        <f>+AO20</f>
        <v>82521</v>
      </c>
      <c r="AU29" s="168">
        <f>+AO21</f>
        <v>82521</v>
      </c>
      <c r="AV29" s="168">
        <f>+AO22</f>
        <v>82521</v>
      </c>
      <c r="AW29" s="168">
        <f>+AO23</f>
        <v>82521</v>
      </c>
      <c r="AX29" s="168">
        <f>+AO24</f>
        <v>82521</v>
      </c>
      <c r="AY29" s="121">
        <f>SUM(AM29:AX29)</f>
        <v>495126</v>
      </c>
    </row>
    <row r="30" spans="1:51">
      <c r="A30" s="117">
        <v>26</v>
      </c>
      <c r="B30" s="130">
        <f t="shared" si="17"/>
        <v>82521</v>
      </c>
      <c r="C30" s="131">
        <f t="shared" si="7"/>
        <v>12028</v>
      </c>
      <c r="D30" s="131">
        <f t="shared" si="1"/>
        <v>94549</v>
      </c>
      <c r="E30" s="131">
        <f t="shared" si="8"/>
        <v>7757080</v>
      </c>
      <c r="F30" s="120">
        <f t="shared" si="18"/>
        <v>28</v>
      </c>
      <c r="G30" s="120">
        <f t="shared" si="19"/>
        <v>2</v>
      </c>
      <c r="H30" s="119"/>
      <c r="I30" s="121">
        <f t="shared" si="20"/>
        <v>25485</v>
      </c>
      <c r="J30" s="121">
        <f t="shared" si="21"/>
        <v>165042</v>
      </c>
      <c r="L30" s="117">
        <v>26</v>
      </c>
      <c r="M30" s="130">
        <f t="shared" si="2"/>
        <v>0</v>
      </c>
      <c r="N30" s="131">
        <f t="shared" si="9"/>
        <v>0</v>
      </c>
      <c r="O30" s="131">
        <f t="shared" si="3"/>
        <v>0</v>
      </c>
      <c r="P30" s="131">
        <f t="shared" si="10"/>
        <v>0</v>
      </c>
      <c r="Q30" s="120">
        <f t="shared" si="22"/>
        <v>28</v>
      </c>
      <c r="R30" s="120">
        <f t="shared" si="23"/>
        <v>2</v>
      </c>
      <c r="S30" s="119"/>
      <c r="T30" s="121">
        <f t="shared" si="24"/>
        <v>0</v>
      </c>
      <c r="U30" s="121">
        <f t="shared" si="25"/>
        <v>0</v>
      </c>
      <c r="W30" s="117">
        <v>26</v>
      </c>
      <c r="X30" s="130" t="str">
        <f t="shared" si="4"/>
        <v/>
      </c>
      <c r="Y30" s="131">
        <f t="shared" si="11"/>
        <v>0</v>
      </c>
      <c r="Z30" s="131">
        <f t="shared" si="5"/>
        <v>0</v>
      </c>
      <c r="AA30" s="131">
        <f t="shared" si="12"/>
        <v>0</v>
      </c>
      <c r="AB30" s="120">
        <f t="shared" si="26"/>
        <v>28</v>
      </c>
      <c r="AC30" s="120">
        <f t="shared" si="27"/>
        <v>2</v>
      </c>
      <c r="AD30" s="119"/>
      <c r="AE30" s="121">
        <f t="shared" si="28"/>
        <v>0</v>
      </c>
      <c r="AF30" s="121">
        <f t="shared" si="29"/>
        <v>0</v>
      </c>
      <c r="AG30" s="117">
        <f t="shared" si="40"/>
        <v>26</v>
      </c>
      <c r="AH30" s="171">
        <f t="shared" si="13"/>
        <v>25485</v>
      </c>
      <c r="AI30" s="171">
        <f t="shared" si="14"/>
        <v>165042</v>
      </c>
      <c r="AJ30" s="171">
        <f t="shared" si="15"/>
        <v>7757080</v>
      </c>
      <c r="AL30" s="263" t="s">
        <v>189</v>
      </c>
      <c r="AM30" s="168">
        <f>+AR13</f>
        <v>15980</v>
      </c>
      <c r="AN30" s="168">
        <f>+AR14</f>
        <v>14433</v>
      </c>
      <c r="AO30" s="168">
        <f>+AR15</f>
        <v>15980</v>
      </c>
      <c r="AP30" s="168">
        <f>+AR16</f>
        <v>15464</v>
      </c>
      <c r="AQ30" s="168">
        <f>+AR17</f>
        <v>15980</v>
      </c>
      <c r="AR30" s="168">
        <f>+AR18</f>
        <v>15464</v>
      </c>
      <c r="AS30" s="168">
        <f>+AR19</f>
        <v>15980</v>
      </c>
      <c r="AT30" s="168">
        <f>+AR20</f>
        <v>15840</v>
      </c>
      <c r="AU30" s="168">
        <f>+AR21</f>
        <v>15193</v>
      </c>
      <c r="AV30" s="168">
        <f>+AR22</f>
        <v>15559</v>
      </c>
      <c r="AW30" s="168">
        <f>+AR23</f>
        <v>14922</v>
      </c>
      <c r="AX30" s="168">
        <f>+AR24</f>
        <v>15279</v>
      </c>
      <c r="AY30" s="121">
        <f>SUM(AM30:AX30)</f>
        <v>186074</v>
      </c>
    </row>
    <row r="31" spans="1:51">
      <c r="A31" s="117">
        <v>27</v>
      </c>
      <c r="B31" s="130">
        <f t="shared" si="17"/>
        <v>82521</v>
      </c>
      <c r="C31" s="131">
        <f t="shared" si="7"/>
        <v>13176</v>
      </c>
      <c r="D31" s="131">
        <f t="shared" si="1"/>
        <v>95697</v>
      </c>
      <c r="E31" s="131">
        <f t="shared" si="8"/>
        <v>7674559</v>
      </c>
      <c r="F31" s="120">
        <f t="shared" si="18"/>
        <v>31</v>
      </c>
      <c r="G31" s="120">
        <f t="shared" si="19"/>
        <v>3</v>
      </c>
      <c r="H31" s="119"/>
      <c r="I31" s="121">
        <f t="shared" si="20"/>
        <v>38661</v>
      </c>
      <c r="J31" s="121">
        <f t="shared" si="21"/>
        <v>247563</v>
      </c>
      <c r="L31" s="117">
        <v>27</v>
      </c>
      <c r="M31" s="130">
        <f t="shared" si="2"/>
        <v>0</v>
      </c>
      <c r="N31" s="131">
        <f t="shared" si="9"/>
        <v>0</v>
      </c>
      <c r="O31" s="131">
        <f t="shared" si="3"/>
        <v>0</v>
      </c>
      <c r="P31" s="131">
        <f t="shared" si="10"/>
        <v>0</v>
      </c>
      <c r="Q31" s="120">
        <f t="shared" si="22"/>
        <v>31</v>
      </c>
      <c r="R31" s="120">
        <f t="shared" si="23"/>
        <v>3</v>
      </c>
      <c r="S31" s="119"/>
      <c r="T31" s="121">
        <f t="shared" si="24"/>
        <v>0</v>
      </c>
      <c r="U31" s="121">
        <f t="shared" si="25"/>
        <v>0</v>
      </c>
      <c r="W31" s="117">
        <v>27</v>
      </c>
      <c r="X31" s="130" t="str">
        <f t="shared" si="4"/>
        <v/>
      </c>
      <c r="Y31" s="131">
        <f t="shared" si="11"/>
        <v>0</v>
      </c>
      <c r="Z31" s="131">
        <f t="shared" si="5"/>
        <v>0</v>
      </c>
      <c r="AA31" s="131">
        <f t="shared" si="12"/>
        <v>0</v>
      </c>
      <c r="AB31" s="120">
        <f t="shared" si="26"/>
        <v>31</v>
      </c>
      <c r="AC31" s="120">
        <f t="shared" si="27"/>
        <v>3</v>
      </c>
      <c r="AD31" s="119"/>
      <c r="AE31" s="121">
        <f t="shared" si="28"/>
        <v>0</v>
      </c>
      <c r="AF31" s="121">
        <f t="shared" si="29"/>
        <v>0</v>
      </c>
      <c r="AG31" s="117">
        <f t="shared" si="40"/>
        <v>27</v>
      </c>
      <c r="AH31" s="171">
        <f t="shared" si="13"/>
        <v>38661</v>
      </c>
      <c r="AI31" s="171">
        <f t="shared" si="14"/>
        <v>247563</v>
      </c>
      <c r="AJ31" s="171">
        <f t="shared" si="15"/>
        <v>7674559</v>
      </c>
    </row>
    <row r="32" spans="1:51">
      <c r="A32" s="117">
        <v>28</v>
      </c>
      <c r="B32" s="130">
        <f t="shared" si="17"/>
        <v>82521</v>
      </c>
      <c r="C32" s="131">
        <f t="shared" si="7"/>
        <v>12616</v>
      </c>
      <c r="D32" s="131">
        <f t="shared" si="1"/>
        <v>95137</v>
      </c>
      <c r="E32" s="131">
        <f t="shared" si="8"/>
        <v>7592038</v>
      </c>
      <c r="F32" s="120">
        <f t="shared" si="18"/>
        <v>30</v>
      </c>
      <c r="G32" s="120">
        <f t="shared" si="19"/>
        <v>4</v>
      </c>
      <c r="H32" s="119"/>
      <c r="I32" s="121">
        <f t="shared" si="20"/>
        <v>51277</v>
      </c>
      <c r="J32" s="121">
        <f t="shared" si="21"/>
        <v>330084</v>
      </c>
      <c r="L32" s="117">
        <v>28</v>
      </c>
      <c r="M32" s="130">
        <f t="shared" si="2"/>
        <v>0</v>
      </c>
      <c r="N32" s="131">
        <f t="shared" si="9"/>
        <v>0</v>
      </c>
      <c r="O32" s="131">
        <f t="shared" si="3"/>
        <v>0</v>
      </c>
      <c r="P32" s="131">
        <f t="shared" si="10"/>
        <v>0</v>
      </c>
      <c r="Q32" s="120">
        <f t="shared" si="22"/>
        <v>30</v>
      </c>
      <c r="R32" s="120">
        <f t="shared" si="23"/>
        <v>4</v>
      </c>
      <c r="S32" s="119"/>
      <c r="T32" s="121">
        <f t="shared" si="24"/>
        <v>0</v>
      </c>
      <c r="U32" s="121">
        <f t="shared" si="25"/>
        <v>0</v>
      </c>
      <c r="W32" s="117">
        <v>28</v>
      </c>
      <c r="X32" s="130" t="str">
        <f t="shared" si="4"/>
        <v/>
      </c>
      <c r="Y32" s="131">
        <f t="shared" si="11"/>
        <v>0</v>
      </c>
      <c r="Z32" s="131">
        <f t="shared" si="5"/>
        <v>0</v>
      </c>
      <c r="AA32" s="131">
        <f t="shared" si="12"/>
        <v>0</v>
      </c>
      <c r="AB32" s="120">
        <f t="shared" si="26"/>
        <v>30</v>
      </c>
      <c r="AC32" s="120">
        <f t="shared" si="27"/>
        <v>4</v>
      </c>
      <c r="AD32" s="119"/>
      <c r="AE32" s="121">
        <f t="shared" si="28"/>
        <v>0</v>
      </c>
      <c r="AF32" s="121">
        <f t="shared" si="29"/>
        <v>0</v>
      </c>
      <c r="AG32" s="117">
        <f t="shared" si="40"/>
        <v>28</v>
      </c>
      <c r="AH32" s="171">
        <f t="shared" si="13"/>
        <v>51277</v>
      </c>
      <c r="AI32" s="171">
        <f t="shared" si="14"/>
        <v>330084</v>
      </c>
      <c r="AJ32" s="171">
        <f t="shared" si="15"/>
        <v>7592038</v>
      </c>
    </row>
    <row r="33" spans="1:36">
      <c r="A33" s="117">
        <v>29</v>
      </c>
      <c r="B33" s="130">
        <f t="shared" si="17"/>
        <v>82521</v>
      </c>
      <c r="C33" s="131">
        <f t="shared" si="7"/>
        <v>12896</v>
      </c>
      <c r="D33" s="131">
        <f t="shared" si="1"/>
        <v>95417</v>
      </c>
      <c r="E33" s="131">
        <f t="shared" si="8"/>
        <v>7509517</v>
      </c>
      <c r="F33" s="120">
        <f t="shared" si="18"/>
        <v>31</v>
      </c>
      <c r="G33" s="120">
        <f t="shared" si="19"/>
        <v>5</v>
      </c>
      <c r="H33" s="119"/>
      <c r="I33" s="121">
        <f t="shared" si="20"/>
        <v>64173</v>
      </c>
      <c r="J33" s="121">
        <f t="shared" si="21"/>
        <v>412605</v>
      </c>
      <c r="L33" s="117">
        <v>29</v>
      </c>
      <c r="M33" s="130">
        <f t="shared" si="2"/>
        <v>0</v>
      </c>
      <c r="N33" s="131">
        <f t="shared" si="9"/>
        <v>0</v>
      </c>
      <c r="O33" s="131">
        <f t="shared" si="3"/>
        <v>0</v>
      </c>
      <c r="P33" s="131">
        <f t="shared" si="10"/>
        <v>0</v>
      </c>
      <c r="Q33" s="120">
        <f t="shared" si="22"/>
        <v>31</v>
      </c>
      <c r="R33" s="120">
        <f t="shared" si="23"/>
        <v>5</v>
      </c>
      <c r="S33" s="119"/>
      <c r="T33" s="121">
        <f t="shared" si="24"/>
        <v>0</v>
      </c>
      <c r="U33" s="121">
        <f t="shared" si="25"/>
        <v>0</v>
      </c>
      <c r="W33" s="117">
        <v>29</v>
      </c>
      <c r="X33" s="130" t="str">
        <f t="shared" si="4"/>
        <v/>
      </c>
      <c r="Y33" s="131">
        <f t="shared" si="11"/>
        <v>0</v>
      </c>
      <c r="Z33" s="131">
        <f t="shared" si="5"/>
        <v>0</v>
      </c>
      <c r="AA33" s="131">
        <f t="shared" si="12"/>
        <v>0</v>
      </c>
      <c r="AB33" s="120">
        <f t="shared" si="26"/>
        <v>31</v>
      </c>
      <c r="AC33" s="120">
        <f t="shared" si="27"/>
        <v>5</v>
      </c>
      <c r="AD33" s="119"/>
      <c r="AE33" s="121">
        <f t="shared" si="28"/>
        <v>0</v>
      </c>
      <c r="AF33" s="121">
        <f t="shared" si="29"/>
        <v>0</v>
      </c>
      <c r="AG33" s="117">
        <f>+AG32+1</f>
        <v>29</v>
      </c>
      <c r="AH33" s="171">
        <f t="shared" si="13"/>
        <v>64173</v>
      </c>
      <c r="AI33" s="171">
        <f t="shared" si="14"/>
        <v>412605</v>
      </c>
      <c r="AJ33" s="171">
        <f t="shared" si="15"/>
        <v>7509517</v>
      </c>
    </row>
    <row r="34" spans="1:36">
      <c r="A34" s="117">
        <v>30</v>
      </c>
      <c r="B34" s="130">
        <f t="shared" si="17"/>
        <v>82521</v>
      </c>
      <c r="C34" s="131">
        <f t="shared" si="7"/>
        <v>12344</v>
      </c>
      <c r="D34" s="131">
        <f t="shared" si="1"/>
        <v>94865</v>
      </c>
      <c r="E34" s="131">
        <f t="shared" si="8"/>
        <v>7426996</v>
      </c>
      <c r="F34" s="120">
        <f t="shared" si="18"/>
        <v>30</v>
      </c>
      <c r="G34" s="120">
        <f t="shared" si="19"/>
        <v>6</v>
      </c>
      <c r="H34" s="119"/>
      <c r="I34" s="121">
        <f t="shared" si="20"/>
        <v>76517</v>
      </c>
      <c r="J34" s="121">
        <f t="shared" si="21"/>
        <v>495126</v>
      </c>
      <c r="L34" s="117">
        <v>30</v>
      </c>
      <c r="M34" s="130">
        <f t="shared" si="2"/>
        <v>0</v>
      </c>
      <c r="N34" s="131">
        <f t="shared" si="9"/>
        <v>0</v>
      </c>
      <c r="O34" s="131">
        <f t="shared" si="3"/>
        <v>0</v>
      </c>
      <c r="P34" s="131">
        <f t="shared" si="10"/>
        <v>0</v>
      </c>
      <c r="Q34" s="120">
        <f t="shared" si="22"/>
        <v>30</v>
      </c>
      <c r="R34" s="120">
        <f t="shared" si="23"/>
        <v>6</v>
      </c>
      <c r="S34" s="119"/>
      <c r="T34" s="121">
        <f t="shared" si="24"/>
        <v>0</v>
      </c>
      <c r="U34" s="121">
        <f t="shared" si="25"/>
        <v>0</v>
      </c>
      <c r="W34" s="117">
        <v>30</v>
      </c>
      <c r="X34" s="130" t="str">
        <f t="shared" si="4"/>
        <v/>
      </c>
      <c r="Y34" s="131">
        <f t="shared" si="11"/>
        <v>0</v>
      </c>
      <c r="Z34" s="131">
        <f t="shared" si="5"/>
        <v>0</v>
      </c>
      <c r="AA34" s="131">
        <f t="shared" si="12"/>
        <v>0</v>
      </c>
      <c r="AB34" s="120">
        <f t="shared" si="26"/>
        <v>30</v>
      </c>
      <c r="AC34" s="120">
        <f t="shared" si="27"/>
        <v>6</v>
      </c>
      <c r="AD34" s="119"/>
      <c r="AE34" s="121">
        <f t="shared" si="28"/>
        <v>0</v>
      </c>
      <c r="AF34" s="121">
        <f t="shared" si="29"/>
        <v>0</v>
      </c>
      <c r="AG34" s="117">
        <f>+AG33+1</f>
        <v>30</v>
      </c>
      <c r="AH34" s="171">
        <f t="shared" si="13"/>
        <v>76517</v>
      </c>
      <c r="AI34" s="171">
        <f t="shared" si="14"/>
        <v>495126</v>
      </c>
      <c r="AJ34" s="171">
        <f t="shared" si="15"/>
        <v>7426996</v>
      </c>
    </row>
    <row r="35" spans="1:36">
      <c r="A35" s="117">
        <v>31</v>
      </c>
      <c r="B35" s="130">
        <f t="shared" si="17"/>
        <v>82521</v>
      </c>
      <c r="C35" s="131">
        <f t="shared" si="7"/>
        <v>12616</v>
      </c>
      <c r="D35" s="131">
        <f t="shared" si="1"/>
        <v>95137</v>
      </c>
      <c r="E35" s="131">
        <f t="shared" si="8"/>
        <v>7344475</v>
      </c>
      <c r="F35" s="120">
        <f t="shared" si="18"/>
        <v>31</v>
      </c>
      <c r="G35" s="120">
        <f t="shared" si="19"/>
        <v>7</v>
      </c>
      <c r="H35" s="119"/>
      <c r="I35" s="121">
        <f t="shared" si="20"/>
        <v>89133</v>
      </c>
      <c r="J35" s="121">
        <f t="shared" si="21"/>
        <v>577647</v>
      </c>
      <c r="L35" s="117">
        <v>31</v>
      </c>
      <c r="M35" s="130">
        <f t="shared" si="2"/>
        <v>0</v>
      </c>
      <c r="N35" s="131">
        <f t="shared" si="9"/>
        <v>0</v>
      </c>
      <c r="O35" s="131">
        <f t="shared" si="3"/>
        <v>0</v>
      </c>
      <c r="P35" s="131">
        <f t="shared" si="10"/>
        <v>0</v>
      </c>
      <c r="Q35" s="120">
        <f t="shared" si="22"/>
        <v>31</v>
      </c>
      <c r="R35" s="120">
        <f t="shared" si="23"/>
        <v>7</v>
      </c>
      <c r="S35" s="119"/>
      <c r="T35" s="121">
        <f t="shared" si="24"/>
        <v>0</v>
      </c>
      <c r="U35" s="121">
        <f t="shared" si="25"/>
        <v>0</v>
      </c>
      <c r="W35" s="117">
        <v>31</v>
      </c>
      <c r="X35" s="130" t="str">
        <f t="shared" si="4"/>
        <v/>
      </c>
      <c r="Y35" s="131">
        <f t="shared" si="11"/>
        <v>0</v>
      </c>
      <c r="Z35" s="131">
        <f t="shared" si="5"/>
        <v>0</v>
      </c>
      <c r="AA35" s="131">
        <f t="shared" si="12"/>
        <v>0</v>
      </c>
      <c r="AB35" s="120">
        <f t="shared" si="26"/>
        <v>31</v>
      </c>
      <c r="AC35" s="120">
        <f t="shared" si="27"/>
        <v>7</v>
      </c>
      <c r="AD35" s="119"/>
      <c r="AE35" s="121">
        <f t="shared" si="28"/>
        <v>0</v>
      </c>
      <c r="AF35" s="121">
        <f t="shared" si="29"/>
        <v>0</v>
      </c>
      <c r="AG35" s="117">
        <f t="shared" ref="AG35:AG37" si="41">+AG34+1</f>
        <v>31</v>
      </c>
      <c r="AH35" s="171">
        <f t="shared" si="13"/>
        <v>89133</v>
      </c>
      <c r="AI35" s="171">
        <f t="shared" si="14"/>
        <v>577647</v>
      </c>
      <c r="AJ35" s="171">
        <f t="shared" si="15"/>
        <v>7344475</v>
      </c>
    </row>
    <row r="36" spans="1:36">
      <c r="A36" s="117">
        <v>32</v>
      </c>
      <c r="B36" s="130">
        <f t="shared" si="17"/>
        <v>82521</v>
      </c>
      <c r="C36" s="131">
        <f t="shared" si="7"/>
        <v>12476</v>
      </c>
      <c r="D36" s="131">
        <f t="shared" si="1"/>
        <v>94997</v>
      </c>
      <c r="E36" s="131">
        <f t="shared" si="8"/>
        <v>7261954</v>
      </c>
      <c r="F36" s="120">
        <f t="shared" si="18"/>
        <v>31</v>
      </c>
      <c r="G36" s="120">
        <f t="shared" si="19"/>
        <v>8</v>
      </c>
      <c r="H36" s="119"/>
      <c r="I36" s="121">
        <f t="shared" si="20"/>
        <v>101609</v>
      </c>
      <c r="J36" s="121">
        <f t="shared" si="21"/>
        <v>660168</v>
      </c>
      <c r="L36" s="117">
        <v>32</v>
      </c>
      <c r="M36" s="130">
        <f t="shared" si="2"/>
        <v>0</v>
      </c>
      <c r="N36" s="131">
        <f t="shared" si="9"/>
        <v>0</v>
      </c>
      <c r="O36" s="131">
        <f t="shared" si="3"/>
        <v>0</v>
      </c>
      <c r="P36" s="131">
        <f t="shared" si="10"/>
        <v>0</v>
      </c>
      <c r="Q36" s="120">
        <f t="shared" si="22"/>
        <v>31</v>
      </c>
      <c r="R36" s="120">
        <f t="shared" si="23"/>
        <v>8</v>
      </c>
      <c r="S36" s="119"/>
      <c r="T36" s="121">
        <f t="shared" si="24"/>
        <v>0</v>
      </c>
      <c r="U36" s="121">
        <f t="shared" si="25"/>
        <v>0</v>
      </c>
      <c r="W36" s="117">
        <v>32</v>
      </c>
      <c r="X36" s="130" t="str">
        <f t="shared" si="4"/>
        <v/>
      </c>
      <c r="Y36" s="131">
        <f t="shared" si="11"/>
        <v>0</v>
      </c>
      <c r="Z36" s="131">
        <f t="shared" si="5"/>
        <v>0</v>
      </c>
      <c r="AA36" s="131">
        <f t="shared" si="12"/>
        <v>0</v>
      </c>
      <c r="AB36" s="120">
        <f t="shared" si="26"/>
        <v>31</v>
      </c>
      <c r="AC36" s="120">
        <f t="shared" si="27"/>
        <v>8</v>
      </c>
      <c r="AD36" s="119"/>
      <c r="AE36" s="121">
        <f t="shared" si="28"/>
        <v>0</v>
      </c>
      <c r="AF36" s="121">
        <f t="shared" si="29"/>
        <v>0</v>
      </c>
      <c r="AG36" s="117">
        <f t="shared" si="41"/>
        <v>32</v>
      </c>
      <c r="AH36" s="171">
        <f t="shared" si="13"/>
        <v>101609</v>
      </c>
      <c r="AI36" s="171">
        <f t="shared" si="14"/>
        <v>660168</v>
      </c>
      <c r="AJ36" s="171">
        <f t="shared" si="15"/>
        <v>7261954</v>
      </c>
    </row>
    <row r="37" spans="1:36">
      <c r="A37" s="117">
        <v>33</v>
      </c>
      <c r="B37" s="130">
        <f t="shared" si="17"/>
        <v>82521</v>
      </c>
      <c r="C37" s="131">
        <f t="shared" si="7"/>
        <v>11937</v>
      </c>
      <c r="D37" s="131">
        <f t="shared" si="1"/>
        <v>94458</v>
      </c>
      <c r="E37" s="131">
        <f t="shared" si="8"/>
        <v>7179433</v>
      </c>
      <c r="F37" s="120">
        <f t="shared" si="18"/>
        <v>30</v>
      </c>
      <c r="G37" s="120">
        <f t="shared" si="19"/>
        <v>9</v>
      </c>
      <c r="H37" s="119"/>
      <c r="I37" s="121">
        <f t="shared" si="20"/>
        <v>113546</v>
      </c>
      <c r="J37" s="121">
        <f t="shared" si="21"/>
        <v>742689</v>
      </c>
      <c r="L37" s="117">
        <v>33</v>
      </c>
      <c r="M37" s="130">
        <f t="shared" ref="M37:M68" si="42">IF(L37&gt;=$O$3+1,"",IF(L37&lt;$Q$2+1,0,TRUNC($Q$3/($O$3-$Q$2))*1))</f>
        <v>0</v>
      </c>
      <c r="N37" s="131">
        <f t="shared" si="9"/>
        <v>0</v>
      </c>
      <c r="O37" s="131">
        <f t="shared" si="3"/>
        <v>0</v>
      </c>
      <c r="P37" s="131">
        <f t="shared" si="10"/>
        <v>0</v>
      </c>
      <c r="Q37" s="120">
        <f t="shared" si="22"/>
        <v>30</v>
      </c>
      <c r="R37" s="120">
        <f t="shared" si="23"/>
        <v>9</v>
      </c>
      <c r="S37" s="119"/>
      <c r="T37" s="121">
        <f t="shared" si="24"/>
        <v>0</v>
      </c>
      <c r="U37" s="121">
        <f t="shared" si="25"/>
        <v>0</v>
      </c>
      <c r="W37" s="117">
        <v>33</v>
      </c>
      <c r="X37" s="130" t="str">
        <f t="shared" ref="X37:X68" si="43">IF(W37&gt;=$Z$3+1,"",IF(W37&lt;$AB$2+1,0,TRUNC($AB$3/($Z$3-$AB$2))*1))</f>
        <v/>
      </c>
      <c r="Y37" s="131">
        <f t="shared" si="11"/>
        <v>0</v>
      </c>
      <c r="Z37" s="131">
        <f t="shared" si="5"/>
        <v>0</v>
      </c>
      <c r="AA37" s="131">
        <f t="shared" si="12"/>
        <v>0</v>
      </c>
      <c r="AB37" s="120">
        <f t="shared" si="26"/>
        <v>30</v>
      </c>
      <c r="AC37" s="120">
        <f t="shared" si="27"/>
        <v>9</v>
      </c>
      <c r="AD37" s="119"/>
      <c r="AE37" s="121">
        <f t="shared" si="28"/>
        <v>0</v>
      </c>
      <c r="AF37" s="121">
        <f t="shared" si="29"/>
        <v>0</v>
      </c>
      <c r="AG37" s="117">
        <f t="shared" si="41"/>
        <v>33</v>
      </c>
      <c r="AH37" s="171">
        <f t="shared" si="13"/>
        <v>113546</v>
      </c>
      <c r="AI37" s="171">
        <f t="shared" si="14"/>
        <v>742689</v>
      </c>
      <c r="AJ37" s="171">
        <f t="shared" si="15"/>
        <v>7179433</v>
      </c>
    </row>
    <row r="38" spans="1:36">
      <c r="A38" s="117">
        <v>34</v>
      </c>
      <c r="B38" s="130">
        <f t="shared" si="17"/>
        <v>82521</v>
      </c>
      <c r="C38" s="131">
        <f t="shared" si="7"/>
        <v>12195</v>
      </c>
      <c r="D38" s="131">
        <f t="shared" si="1"/>
        <v>94716</v>
      </c>
      <c r="E38" s="131">
        <f t="shared" si="8"/>
        <v>7096912</v>
      </c>
      <c r="F38" s="120">
        <f t="shared" si="18"/>
        <v>31</v>
      </c>
      <c r="G38" s="120">
        <f t="shared" si="19"/>
        <v>10</v>
      </c>
      <c r="H38" s="119"/>
      <c r="I38" s="121">
        <f t="shared" si="20"/>
        <v>125741</v>
      </c>
      <c r="J38" s="121">
        <f t="shared" si="21"/>
        <v>825210</v>
      </c>
      <c r="L38" s="117">
        <v>34</v>
      </c>
      <c r="M38" s="130">
        <f t="shared" si="42"/>
        <v>0</v>
      </c>
      <c r="N38" s="131">
        <f t="shared" ref="N38:N69" si="44">ROUND(P37*$O$2/365*Q38,0)</f>
        <v>0</v>
      </c>
      <c r="O38" s="131">
        <f t="shared" si="3"/>
        <v>0</v>
      </c>
      <c r="P38" s="131">
        <f t="shared" si="10"/>
        <v>0</v>
      </c>
      <c r="Q38" s="120">
        <f t="shared" si="22"/>
        <v>31</v>
      </c>
      <c r="R38" s="120">
        <f t="shared" si="23"/>
        <v>10</v>
      </c>
      <c r="S38" s="119"/>
      <c r="T38" s="121">
        <f t="shared" si="24"/>
        <v>0</v>
      </c>
      <c r="U38" s="121">
        <f t="shared" si="25"/>
        <v>0</v>
      </c>
      <c r="W38" s="117">
        <v>34</v>
      </c>
      <c r="X38" s="130" t="str">
        <f t="shared" si="43"/>
        <v/>
      </c>
      <c r="Y38" s="131">
        <f t="shared" ref="Y38:Y69" si="45">ROUND(AA37*$Z$2/365*AB38,0)</f>
        <v>0</v>
      </c>
      <c r="Z38" s="131">
        <f t="shared" si="5"/>
        <v>0</v>
      </c>
      <c r="AA38" s="131">
        <f t="shared" si="12"/>
        <v>0</v>
      </c>
      <c r="AB38" s="120">
        <f t="shared" si="26"/>
        <v>31</v>
      </c>
      <c r="AC38" s="120">
        <f t="shared" si="27"/>
        <v>10</v>
      </c>
      <c r="AD38" s="119"/>
      <c r="AE38" s="121">
        <f t="shared" si="28"/>
        <v>0</v>
      </c>
      <c r="AF38" s="121">
        <f t="shared" si="29"/>
        <v>0</v>
      </c>
      <c r="AG38" s="117">
        <f>+AG37+1</f>
        <v>34</v>
      </c>
      <c r="AH38" s="171">
        <f t="shared" si="13"/>
        <v>125741</v>
      </c>
      <c r="AI38" s="171">
        <f t="shared" si="14"/>
        <v>825210</v>
      </c>
      <c r="AJ38" s="171">
        <f t="shared" si="15"/>
        <v>7096912</v>
      </c>
    </row>
    <row r="39" spans="1:36">
      <c r="A39" s="117">
        <v>35</v>
      </c>
      <c r="B39" s="130">
        <f t="shared" si="17"/>
        <v>82521</v>
      </c>
      <c r="C39" s="131">
        <f t="shared" si="7"/>
        <v>11666</v>
      </c>
      <c r="D39" s="131">
        <f t="shared" si="1"/>
        <v>94187</v>
      </c>
      <c r="E39" s="131">
        <f t="shared" si="8"/>
        <v>7014391</v>
      </c>
      <c r="F39" s="120">
        <f t="shared" si="18"/>
        <v>30</v>
      </c>
      <c r="G39" s="120">
        <f t="shared" si="19"/>
        <v>11</v>
      </c>
      <c r="H39" s="119"/>
      <c r="I39" s="121">
        <f t="shared" si="20"/>
        <v>137407</v>
      </c>
      <c r="J39" s="121">
        <f t="shared" si="21"/>
        <v>907731</v>
      </c>
      <c r="L39" s="117">
        <v>35</v>
      </c>
      <c r="M39" s="130">
        <f t="shared" si="42"/>
        <v>0</v>
      </c>
      <c r="N39" s="131">
        <f t="shared" si="44"/>
        <v>0</v>
      </c>
      <c r="O39" s="131">
        <f t="shared" si="3"/>
        <v>0</v>
      </c>
      <c r="P39" s="131">
        <f t="shared" si="10"/>
        <v>0</v>
      </c>
      <c r="Q39" s="120">
        <f t="shared" si="22"/>
        <v>30</v>
      </c>
      <c r="R39" s="120">
        <f t="shared" si="23"/>
        <v>11</v>
      </c>
      <c r="S39" s="119"/>
      <c r="T39" s="121">
        <f t="shared" si="24"/>
        <v>0</v>
      </c>
      <c r="U39" s="121">
        <f t="shared" si="25"/>
        <v>0</v>
      </c>
      <c r="W39" s="117">
        <v>35</v>
      </c>
      <c r="X39" s="130" t="str">
        <f t="shared" si="43"/>
        <v/>
      </c>
      <c r="Y39" s="131">
        <f t="shared" si="45"/>
        <v>0</v>
      </c>
      <c r="Z39" s="131">
        <f t="shared" si="5"/>
        <v>0</v>
      </c>
      <c r="AA39" s="131">
        <f t="shared" si="12"/>
        <v>0</v>
      </c>
      <c r="AB39" s="120">
        <f t="shared" si="26"/>
        <v>30</v>
      </c>
      <c r="AC39" s="120">
        <f t="shared" si="27"/>
        <v>11</v>
      </c>
      <c r="AD39" s="119"/>
      <c r="AE39" s="121">
        <f t="shared" si="28"/>
        <v>0</v>
      </c>
      <c r="AF39" s="121">
        <f t="shared" si="29"/>
        <v>0</v>
      </c>
      <c r="AG39" s="117">
        <f t="shared" ref="AG39:AG44" si="46">+AG38+1</f>
        <v>35</v>
      </c>
      <c r="AH39" s="171">
        <f t="shared" si="13"/>
        <v>137407</v>
      </c>
      <c r="AI39" s="171">
        <f t="shared" si="14"/>
        <v>907731</v>
      </c>
      <c r="AJ39" s="171">
        <f t="shared" si="15"/>
        <v>7014391</v>
      </c>
    </row>
    <row r="40" spans="1:36">
      <c r="A40" s="117">
        <v>36</v>
      </c>
      <c r="B40" s="130">
        <f t="shared" si="17"/>
        <v>82521</v>
      </c>
      <c r="C40" s="131">
        <f t="shared" si="7"/>
        <v>11915</v>
      </c>
      <c r="D40" s="131">
        <f t="shared" si="1"/>
        <v>94436</v>
      </c>
      <c r="E40" s="131">
        <f t="shared" si="8"/>
        <v>6931870</v>
      </c>
      <c r="F40" s="120">
        <f t="shared" si="18"/>
        <v>31</v>
      </c>
      <c r="G40" s="120">
        <f t="shared" si="19"/>
        <v>12</v>
      </c>
      <c r="H40" s="119"/>
      <c r="I40" s="121">
        <f t="shared" si="20"/>
        <v>149322</v>
      </c>
      <c r="J40" s="121">
        <f t="shared" si="21"/>
        <v>990252</v>
      </c>
      <c r="L40" s="117">
        <v>36</v>
      </c>
      <c r="M40" s="130">
        <f t="shared" si="42"/>
        <v>0</v>
      </c>
      <c r="N40" s="131">
        <f t="shared" si="44"/>
        <v>0</v>
      </c>
      <c r="O40" s="131">
        <f t="shared" si="3"/>
        <v>0</v>
      </c>
      <c r="P40" s="131">
        <f t="shared" si="10"/>
        <v>0</v>
      </c>
      <c r="Q40" s="120">
        <f t="shared" si="22"/>
        <v>31</v>
      </c>
      <c r="R40" s="120">
        <f t="shared" si="23"/>
        <v>12</v>
      </c>
      <c r="S40" s="119"/>
      <c r="T40" s="121">
        <f t="shared" si="24"/>
        <v>0</v>
      </c>
      <c r="U40" s="121">
        <f t="shared" si="25"/>
        <v>0</v>
      </c>
      <c r="W40" s="117">
        <v>36</v>
      </c>
      <c r="X40" s="130" t="str">
        <f t="shared" si="43"/>
        <v/>
      </c>
      <c r="Y40" s="131">
        <f t="shared" si="45"/>
        <v>0</v>
      </c>
      <c r="Z40" s="131">
        <f t="shared" si="5"/>
        <v>0</v>
      </c>
      <c r="AA40" s="131">
        <f t="shared" si="12"/>
        <v>0</v>
      </c>
      <c r="AB40" s="120">
        <f t="shared" si="26"/>
        <v>31</v>
      </c>
      <c r="AC40" s="120">
        <f t="shared" si="27"/>
        <v>12</v>
      </c>
      <c r="AD40" s="119"/>
      <c r="AE40" s="121">
        <f t="shared" si="28"/>
        <v>0</v>
      </c>
      <c r="AF40" s="121">
        <f t="shared" si="29"/>
        <v>0</v>
      </c>
      <c r="AG40" s="117">
        <f t="shared" si="46"/>
        <v>36</v>
      </c>
      <c r="AH40" s="171">
        <f t="shared" si="13"/>
        <v>149322</v>
      </c>
      <c r="AI40" s="171">
        <f t="shared" si="14"/>
        <v>990252</v>
      </c>
      <c r="AJ40" s="171">
        <f t="shared" si="15"/>
        <v>6931870</v>
      </c>
    </row>
    <row r="41" spans="1:36">
      <c r="A41" s="117">
        <v>37</v>
      </c>
      <c r="B41" s="130">
        <f t="shared" si="17"/>
        <v>82521</v>
      </c>
      <c r="C41" s="131">
        <f t="shared" si="7"/>
        <v>11775</v>
      </c>
      <c r="D41" s="131">
        <f t="shared" si="1"/>
        <v>94296</v>
      </c>
      <c r="E41" s="131">
        <f t="shared" si="8"/>
        <v>6849349</v>
      </c>
      <c r="F41" s="120">
        <f t="shared" si="18"/>
        <v>31</v>
      </c>
      <c r="G41" s="120">
        <f t="shared" si="19"/>
        <v>1</v>
      </c>
      <c r="H41" s="119"/>
      <c r="I41" s="121">
        <f t="shared" si="20"/>
        <v>11775</v>
      </c>
      <c r="J41" s="121">
        <f t="shared" si="21"/>
        <v>82521</v>
      </c>
      <c r="L41" s="117">
        <v>37</v>
      </c>
      <c r="M41" s="130" t="str">
        <f t="shared" si="42"/>
        <v/>
      </c>
      <c r="N41" s="131">
        <f t="shared" si="44"/>
        <v>0</v>
      </c>
      <c r="O41" s="131">
        <f t="shared" si="3"/>
        <v>0</v>
      </c>
      <c r="P41" s="131">
        <f t="shared" si="10"/>
        <v>0</v>
      </c>
      <c r="Q41" s="120">
        <f t="shared" si="22"/>
        <v>31</v>
      </c>
      <c r="R41" s="120">
        <f t="shared" si="23"/>
        <v>1</v>
      </c>
      <c r="S41" s="119"/>
      <c r="T41" s="121">
        <f t="shared" si="24"/>
        <v>0</v>
      </c>
      <c r="U41" s="121" t="str">
        <f t="shared" si="25"/>
        <v/>
      </c>
      <c r="W41" s="117">
        <v>37</v>
      </c>
      <c r="X41" s="130" t="str">
        <f t="shared" si="43"/>
        <v/>
      </c>
      <c r="Y41" s="131">
        <f t="shared" si="45"/>
        <v>0</v>
      </c>
      <c r="Z41" s="131">
        <f t="shared" si="5"/>
        <v>0</v>
      </c>
      <c r="AA41" s="131">
        <f t="shared" si="12"/>
        <v>0</v>
      </c>
      <c r="AB41" s="120">
        <f t="shared" si="26"/>
        <v>31</v>
      </c>
      <c r="AC41" s="120">
        <f t="shared" si="27"/>
        <v>1</v>
      </c>
      <c r="AD41" s="119"/>
      <c r="AE41" s="121">
        <f t="shared" si="28"/>
        <v>0</v>
      </c>
      <c r="AF41" s="121" t="str">
        <f t="shared" si="29"/>
        <v/>
      </c>
      <c r="AG41" s="117">
        <f t="shared" si="46"/>
        <v>37</v>
      </c>
      <c r="AH41" s="171">
        <f t="shared" si="13"/>
        <v>11775</v>
      </c>
      <c r="AI41" s="171">
        <f t="shared" si="14"/>
        <v>82521</v>
      </c>
      <c r="AJ41" s="171">
        <f t="shared" si="15"/>
        <v>6849349</v>
      </c>
    </row>
    <row r="42" spans="1:36">
      <c r="A42" s="117">
        <v>38</v>
      </c>
      <c r="B42" s="130">
        <f t="shared" si="17"/>
        <v>82521</v>
      </c>
      <c r="C42" s="131">
        <f t="shared" si="7"/>
        <v>10509</v>
      </c>
      <c r="D42" s="131">
        <f t="shared" si="1"/>
        <v>93030</v>
      </c>
      <c r="E42" s="131">
        <f t="shared" si="8"/>
        <v>6766828</v>
      </c>
      <c r="F42" s="120">
        <f t="shared" si="18"/>
        <v>28</v>
      </c>
      <c r="G42" s="120">
        <f t="shared" si="19"/>
        <v>2</v>
      </c>
      <c r="H42" s="119"/>
      <c r="I42" s="121">
        <f t="shared" si="20"/>
        <v>22284</v>
      </c>
      <c r="J42" s="121">
        <f t="shared" si="21"/>
        <v>165042</v>
      </c>
      <c r="L42" s="117">
        <v>38</v>
      </c>
      <c r="M42" s="130" t="str">
        <f t="shared" si="42"/>
        <v/>
      </c>
      <c r="N42" s="131">
        <f t="shared" si="44"/>
        <v>0</v>
      </c>
      <c r="O42" s="131">
        <f t="shared" si="3"/>
        <v>0</v>
      </c>
      <c r="P42" s="131">
        <f t="shared" si="10"/>
        <v>0</v>
      </c>
      <c r="Q42" s="120">
        <f t="shared" si="22"/>
        <v>28</v>
      </c>
      <c r="R42" s="120">
        <f t="shared" si="23"/>
        <v>2</v>
      </c>
      <c r="S42" s="119"/>
      <c r="T42" s="121">
        <f t="shared" si="24"/>
        <v>0</v>
      </c>
      <c r="U42" s="121">
        <f t="shared" si="25"/>
        <v>0</v>
      </c>
      <c r="W42" s="117">
        <v>38</v>
      </c>
      <c r="X42" s="130" t="str">
        <f t="shared" si="43"/>
        <v/>
      </c>
      <c r="Y42" s="131">
        <f t="shared" si="45"/>
        <v>0</v>
      </c>
      <c r="Z42" s="131">
        <f t="shared" si="5"/>
        <v>0</v>
      </c>
      <c r="AA42" s="131">
        <f t="shared" si="12"/>
        <v>0</v>
      </c>
      <c r="AB42" s="120">
        <f t="shared" si="26"/>
        <v>28</v>
      </c>
      <c r="AC42" s="120">
        <f t="shared" si="27"/>
        <v>2</v>
      </c>
      <c r="AD42" s="119"/>
      <c r="AE42" s="121">
        <f t="shared" si="28"/>
        <v>0</v>
      </c>
      <c r="AF42" s="121">
        <f t="shared" si="29"/>
        <v>0</v>
      </c>
      <c r="AG42" s="117">
        <f t="shared" si="46"/>
        <v>38</v>
      </c>
      <c r="AH42" s="171">
        <f t="shared" si="13"/>
        <v>22284</v>
      </c>
      <c r="AI42" s="171">
        <f t="shared" si="14"/>
        <v>165042</v>
      </c>
      <c r="AJ42" s="171">
        <f t="shared" si="15"/>
        <v>6766828</v>
      </c>
    </row>
    <row r="43" spans="1:36">
      <c r="A43" s="117">
        <v>39</v>
      </c>
      <c r="B43" s="130">
        <f t="shared" si="17"/>
        <v>82521</v>
      </c>
      <c r="C43" s="131">
        <f t="shared" si="7"/>
        <v>11494</v>
      </c>
      <c r="D43" s="131">
        <f t="shared" si="1"/>
        <v>94015</v>
      </c>
      <c r="E43" s="131">
        <f t="shared" si="8"/>
        <v>6684307</v>
      </c>
      <c r="F43" s="120">
        <f t="shared" si="18"/>
        <v>31</v>
      </c>
      <c r="G43" s="120">
        <f t="shared" si="19"/>
        <v>3</v>
      </c>
      <c r="H43" s="119"/>
      <c r="I43" s="121">
        <f t="shared" si="20"/>
        <v>33778</v>
      </c>
      <c r="J43" s="121">
        <f t="shared" si="21"/>
        <v>247563</v>
      </c>
      <c r="L43" s="117">
        <v>39</v>
      </c>
      <c r="M43" s="130" t="str">
        <f t="shared" si="42"/>
        <v/>
      </c>
      <c r="N43" s="131">
        <f t="shared" si="44"/>
        <v>0</v>
      </c>
      <c r="O43" s="131">
        <f t="shared" si="3"/>
        <v>0</v>
      </c>
      <c r="P43" s="131">
        <f t="shared" si="10"/>
        <v>0</v>
      </c>
      <c r="Q43" s="120">
        <f t="shared" si="22"/>
        <v>31</v>
      </c>
      <c r="R43" s="120">
        <f t="shared" si="23"/>
        <v>3</v>
      </c>
      <c r="S43" s="119"/>
      <c r="T43" s="121">
        <f t="shared" si="24"/>
        <v>0</v>
      </c>
      <c r="U43" s="121">
        <f t="shared" si="25"/>
        <v>0</v>
      </c>
      <c r="W43" s="117">
        <v>39</v>
      </c>
      <c r="X43" s="130" t="str">
        <f t="shared" si="43"/>
        <v/>
      </c>
      <c r="Y43" s="131">
        <f t="shared" si="45"/>
        <v>0</v>
      </c>
      <c r="Z43" s="131">
        <f t="shared" si="5"/>
        <v>0</v>
      </c>
      <c r="AA43" s="131">
        <f t="shared" si="12"/>
        <v>0</v>
      </c>
      <c r="AB43" s="120">
        <f t="shared" si="26"/>
        <v>31</v>
      </c>
      <c r="AC43" s="120">
        <f t="shared" si="27"/>
        <v>3</v>
      </c>
      <c r="AD43" s="119"/>
      <c r="AE43" s="121">
        <f t="shared" si="28"/>
        <v>0</v>
      </c>
      <c r="AF43" s="121">
        <f t="shared" si="29"/>
        <v>0</v>
      </c>
      <c r="AG43" s="117">
        <f t="shared" si="46"/>
        <v>39</v>
      </c>
      <c r="AH43" s="171">
        <f t="shared" si="13"/>
        <v>33778</v>
      </c>
      <c r="AI43" s="171">
        <f t="shared" si="14"/>
        <v>247563</v>
      </c>
      <c r="AJ43" s="171">
        <f t="shared" si="15"/>
        <v>6684307</v>
      </c>
    </row>
    <row r="44" spans="1:36">
      <c r="A44" s="117">
        <v>40</v>
      </c>
      <c r="B44" s="130">
        <f t="shared" si="17"/>
        <v>82521</v>
      </c>
      <c r="C44" s="131">
        <f t="shared" si="7"/>
        <v>10988</v>
      </c>
      <c r="D44" s="131">
        <f t="shared" si="1"/>
        <v>93509</v>
      </c>
      <c r="E44" s="131">
        <f t="shared" si="8"/>
        <v>6601786</v>
      </c>
      <c r="F44" s="120">
        <f t="shared" si="18"/>
        <v>30</v>
      </c>
      <c r="G44" s="120">
        <f t="shared" si="19"/>
        <v>4</v>
      </c>
      <c r="H44" s="119"/>
      <c r="I44" s="121">
        <f t="shared" si="20"/>
        <v>44766</v>
      </c>
      <c r="J44" s="121">
        <f t="shared" si="21"/>
        <v>330084</v>
      </c>
      <c r="L44" s="117">
        <v>40</v>
      </c>
      <c r="M44" s="130" t="str">
        <f t="shared" si="42"/>
        <v/>
      </c>
      <c r="N44" s="131">
        <f t="shared" si="44"/>
        <v>0</v>
      </c>
      <c r="O44" s="131">
        <f t="shared" si="3"/>
        <v>0</v>
      </c>
      <c r="P44" s="131">
        <f t="shared" si="10"/>
        <v>0</v>
      </c>
      <c r="Q44" s="120">
        <f t="shared" si="22"/>
        <v>30</v>
      </c>
      <c r="R44" s="120">
        <f t="shared" si="23"/>
        <v>4</v>
      </c>
      <c r="S44" s="119"/>
      <c r="T44" s="121">
        <f t="shared" si="24"/>
        <v>0</v>
      </c>
      <c r="U44" s="121">
        <f t="shared" si="25"/>
        <v>0</v>
      </c>
      <c r="W44" s="117">
        <v>40</v>
      </c>
      <c r="X44" s="130" t="str">
        <f t="shared" si="43"/>
        <v/>
      </c>
      <c r="Y44" s="131">
        <f t="shared" si="45"/>
        <v>0</v>
      </c>
      <c r="Z44" s="131">
        <f t="shared" si="5"/>
        <v>0</v>
      </c>
      <c r="AA44" s="131">
        <f t="shared" si="12"/>
        <v>0</v>
      </c>
      <c r="AB44" s="120">
        <f t="shared" si="26"/>
        <v>30</v>
      </c>
      <c r="AC44" s="120">
        <f t="shared" si="27"/>
        <v>4</v>
      </c>
      <c r="AD44" s="119"/>
      <c r="AE44" s="121">
        <f t="shared" si="28"/>
        <v>0</v>
      </c>
      <c r="AF44" s="121">
        <f t="shared" si="29"/>
        <v>0</v>
      </c>
      <c r="AG44" s="117">
        <f t="shared" si="46"/>
        <v>40</v>
      </c>
      <c r="AH44" s="171">
        <f t="shared" si="13"/>
        <v>44766</v>
      </c>
      <c r="AI44" s="171">
        <f t="shared" si="14"/>
        <v>330084</v>
      </c>
      <c r="AJ44" s="171">
        <f t="shared" si="15"/>
        <v>6601786</v>
      </c>
    </row>
    <row r="45" spans="1:36">
      <c r="A45" s="117">
        <v>41</v>
      </c>
      <c r="B45" s="130">
        <f t="shared" si="17"/>
        <v>82521</v>
      </c>
      <c r="C45" s="131">
        <f t="shared" si="7"/>
        <v>11214</v>
      </c>
      <c r="D45" s="131">
        <f t="shared" si="1"/>
        <v>93735</v>
      </c>
      <c r="E45" s="131">
        <f t="shared" si="8"/>
        <v>6519265</v>
      </c>
      <c r="F45" s="120">
        <f t="shared" si="18"/>
        <v>31</v>
      </c>
      <c r="G45" s="120">
        <f t="shared" si="19"/>
        <v>5</v>
      </c>
      <c r="H45" s="119"/>
      <c r="I45" s="121">
        <f t="shared" si="20"/>
        <v>55980</v>
      </c>
      <c r="J45" s="121">
        <f t="shared" si="21"/>
        <v>412605</v>
      </c>
      <c r="L45" s="117">
        <v>41</v>
      </c>
      <c r="M45" s="130" t="str">
        <f t="shared" si="42"/>
        <v/>
      </c>
      <c r="N45" s="131">
        <f t="shared" si="44"/>
        <v>0</v>
      </c>
      <c r="O45" s="131">
        <f t="shared" si="3"/>
        <v>0</v>
      </c>
      <c r="P45" s="131">
        <f t="shared" si="10"/>
        <v>0</v>
      </c>
      <c r="Q45" s="120">
        <f t="shared" si="22"/>
        <v>31</v>
      </c>
      <c r="R45" s="120">
        <f t="shared" si="23"/>
        <v>5</v>
      </c>
      <c r="S45" s="119"/>
      <c r="T45" s="121">
        <f t="shared" si="24"/>
        <v>0</v>
      </c>
      <c r="U45" s="121">
        <f t="shared" si="25"/>
        <v>0</v>
      </c>
      <c r="W45" s="117">
        <v>41</v>
      </c>
      <c r="X45" s="130" t="str">
        <f t="shared" si="43"/>
        <v/>
      </c>
      <c r="Y45" s="131">
        <f t="shared" si="45"/>
        <v>0</v>
      </c>
      <c r="Z45" s="131">
        <f t="shared" si="5"/>
        <v>0</v>
      </c>
      <c r="AA45" s="131">
        <f t="shared" si="12"/>
        <v>0</v>
      </c>
      <c r="AB45" s="120">
        <f t="shared" si="26"/>
        <v>31</v>
      </c>
      <c r="AC45" s="120">
        <f t="shared" si="27"/>
        <v>5</v>
      </c>
      <c r="AD45" s="119"/>
      <c r="AE45" s="121">
        <f t="shared" si="28"/>
        <v>0</v>
      </c>
      <c r="AF45" s="121">
        <f t="shared" si="29"/>
        <v>0</v>
      </c>
      <c r="AG45" s="117">
        <f>+AG44+1</f>
        <v>41</v>
      </c>
      <c r="AH45" s="171">
        <f t="shared" si="13"/>
        <v>55980</v>
      </c>
      <c r="AI45" s="171">
        <f t="shared" si="14"/>
        <v>412605</v>
      </c>
      <c r="AJ45" s="171">
        <f t="shared" si="15"/>
        <v>6519265</v>
      </c>
    </row>
    <row r="46" spans="1:36">
      <c r="A46" s="117">
        <v>42</v>
      </c>
      <c r="B46" s="130">
        <f t="shared" si="17"/>
        <v>82521</v>
      </c>
      <c r="C46" s="131">
        <f t="shared" si="7"/>
        <v>10717</v>
      </c>
      <c r="D46" s="131">
        <f t="shared" si="1"/>
        <v>93238</v>
      </c>
      <c r="E46" s="131">
        <f t="shared" si="8"/>
        <v>6436744</v>
      </c>
      <c r="F46" s="120">
        <f t="shared" si="18"/>
        <v>30</v>
      </c>
      <c r="G46" s="120">
        <f t="shared" si="19"/>
        <v>6</v>
      </c>
      <c r="H46" s="119"/>
      <c r="I46" s="121">
        <f t="shared" si="20"/>
        <v>66697</v>
      </c>
      <c r="J46" s="121">
        <f t="shared" si="21"/>
        <v>495126</v>
      </c>
      <c r="L46" s="117">
        <v>42</v>
      </c>
      <c r="M46" s="130" t="str">
        <f t="shared" si="42"/>
        <v/>
      </c>
      <c r="N46" s="131">
        <f t="shared" si="44"/>
        <v>0</v>
      </c>
      <c r="O46" s="131">
        <f t="shared" si="3"/>
        <v>0</v>
      </c>
      <c r="P46" s="131">
        <f t="shared" si="10"/>
        <v>0</v>
      </c>
      <c r="Q46" s="120">
        <f t="shared" si="22"/>
        <v>30</v>
      </c>
      <c r="R46" s="120">
        <f t="shared" si="23"/>
        <v>6</v>
      </c>
      <c r="S46" s="119"/>
      <c r="T46" s="121">
        <f t="shared" si="24"/>
        <v>0</v>
      </c>
      <c r="U46" s="121">
        <f t="shared" si="25"/>
        <v>0</v>
      </c>
      <c r="W46" s="117">
        <v>42</v>
      </c>
      <c r="X46" s="130" t="str">
        <f t="shared" si="43"/>
        <v/>
      </c>
      <c r="Y46" s="131">
        <f t="shared" si="45"/>
        <v>0</v>
      </c>
      <c r="Z46" s="131">
        <f t="shared" si="5"/>
        <v>0</v>
      </c>
      <c r="AA46" s="131">
        <f t="shared" si="12"/>
        <v>0</v>
      </c>
      <c r="AB46" s="120">
        <f t="shared" si="26"/>
        <v>30</v>
      </c>
      <c r="AC46" s="120">
        <f t="shared" si="27"/>
        <v>6</v>
      </c>
      <c r="AD46" s="119"/>
      <c r="AE46" s="121">
        <f t="shared" si="28"/>
        <v>0</v>
      </c>
      <c r="AF46" s="121">
        <f t="shared" si="29"/>
        <v>0</v>
      </c>
      <c r="AG46" s="117">
        <f>+AG45+1</f>
        <v>42</v>
      </c>
      <c r="AH46" s="171">
        <f t="shared" si="13"/>
        <v>66697</v>
      </c>
      <c r="AI46" s="171">
        <f t="shared" si="14"/>
        <v>495126</v>
      </c>
      <c r="AJ46" s="171">
        <f t="shared" si="15"/>
        <v>6436744</v>
      </c>
    </row>
    <row r="47" spans="1:36">
      <c r="A47" s="117">
        <v>43</v>
      </c>
      <c r="B47" s="130">
        <f t="shared" si="17"/>
        <v>82521</v>
      </c>
      <c r="C47" s="131">
        <f t="shared" si="7"/>
        <v>10934</v>
      </c>
      <c r="D47" s="131">
        <f t="shared" si="1"/>
        <v>93455</v>
      </c>
      <c r="E47" s="131">
        <f t="shared" si="8"/>
        <v>6354223</v>
      </c>
      <c r="F47" s="120">
        <f t="shared" si="18"/>
        <v>31</v>
      </c>
      <c r="G47" s="120">
        <f t="shared" si="19"/>
        <v>7</v>
      </c>
      <c r="H47" s="119"/>
      <c r="I47" s="121">
        <f t="shared" si="20"/>
        <v>77631</v>
      </c>
      <c r="J47" s="121">
        <f t="shared" si="21"/>
        <v>577647</v>
      </c>
      <c r="L47" s="117">
        <v>43</v>
      </c>
      <c r="M47" s="130" t="str">
        <f t="shared" si="42"/>
        <v/>
      </c>
      <c r="N47" s="131">
        <f t="shared" si="44"/>
        <v>0</v>
      </c>
      <c r="O47" s="131">
        <f t="shared" si="3"/>
        <v>0</v>
      </c>
      <c r="P47" s="131">
        <f t="shared" si="10"/>
        <v>0</v>
      </c>
      <c r="Q47" s="120">
        <f t="shared" si="22"/>
        <v>31</v>
      </c>
      <c r="R47" s="120">
        <f t="shared" si="23"/>
        <v>7</v>
      </c>
      <c r="S47" s="119"/>
      <c r="T47" s="121">
        <f t="shared" si="24"/>
        <v>0</v>
      </c>
      <c r="U47" s="121">
        <f t="shared" si="25"/>
        <v>0</v>
      </c>
      <c r="W47" s="117">
        <v>43</v>
      </c>
      <c r="X47" s="130" t="str">
        <f t="shared" si="43"/>
        <v/>
      </c>
      <c r="Y47" s="131">
        <f t="shared" si="45"/>
        <v>0</v>
      </c>
      <c r="Z47" s="131">
        <f t="shared" si="5"/>
        <v>0</v>
      </c>
      <c r="AA47" s="131">
        <f t="shared" si="12"/>
        <v>0</v>
      </c>
      <c r="AB47" s="120">
        <f t="shared" si="26"/>
        <v>31</v>
      </c>
      <c r="AC47" s="120">
        <f t="shared" si="27"/>
        <v>7</v>
      </c>
      <c r="AD47" s="119"/>
      <c r="AE47" s="121">
        <f t="shared" si="28"/>
        <v>0</v>
      </c>
      <c r="AF47" s="121">
        <f t="shared" si="29"/>
        <v>0</v>
      </c>
      <c r="AG47" s="117">
        <f t="shared" ref="AG47:AG49" si="47">+AG46+1</f>
        <v>43</v>
      </c>
      <c r="AH47" s="171">
        <f t="shared" si="13"/>
        <v>77631</v>
      </c>
      <c r="AI47" s="171">
        <f t="shared" si="14"/>
        <v>577647</v>
      </c>
      <c r="AJ47" s="171">
        <f t="shared" si="15"/>
        <v>6354223</v>
      </c>
    </row>
    <row r="48" spans="1:36">
      <c r="A48" s="117">
        <v>44</v>
      </c>
      <c r="B48" s="130">
        <f t="shared" si="17"/>
        <v>82521</v>
      </c>
      <c r="C48" s="131">
        <f t="shared" si="7"/>
        <v>10793</v>
      </c>
      <c r="D48" s="131">
        <f t="shared" si="1"/>
        <v>93314</v>
      </c>
      <c r="E48" s="131">
        <f t="shared" si="8"/>
        <v>6271702</v>
      </c>
      <c r="F48" s="120">
        <f t="shared" si="18"/>
        <v>31</v>
      </c>
      <c r="G48" s="120">
        <f t="shared" si="19"/>
        <v>8</v>
      </c>
      <c r="H48" s="119"/>
      <c r="I48" s="121">
        <f t="shared" si="20"/>
        <v>88424</v>
      </c>
      <c r="J48" s="121">
        <f t="shared" si="21"/>
        <v>660168</v>
      </c>
      <c r="L48" s="117">
        <v>44</v>
      </c>
      <c r="M48" s="130" t="str">
        <f t="shared" si="42"/>
        <v/>
      </c>
      <c r="N48" s="131">
        <f t="shared" si="44"/>
        <v>0</v>
      </c>
      <c r="O48" s="131">
        <f t="shared" si="3"/>
        <v>0</v>
      </c>
      <c r="P48" s="131">
        <f t="shared" si="10"/>
        <v>0</v>
      </c>
      <c r="Q48" s="120">
        <f t="shared" si="22"/>
        <v>31</v>
      </c>
      <c r="R48" s="120">
        <f t="shared" si="23"/>
        <v>8</v>
      </c>
      <c r="S48" s="119"/>
      <c r="T48" s="121">
        <f t="shared" si="24"/>
        <v>0</v>
      </c>
      <c r="U48" s="121">
        <f t="shared" si="25"/>
        <v>0</v>
      </c>
      <c r="W48" s="117">
        <v>44</v>
      </c>
      <c r="X48" s="130" t="str">
        <f t="shared" si="43"/>
        <v/>
      </c>
      <c r="Y48" s="131">
        <f t="shared" si="45"/>
        <v>0</v>
      </c>
      <c r="Z48" s="131">
        <f t="shared" si="5"/>
        <v>0</v>
      </c>
      <c r="AA48" s="131">
        <f t="shared" si="12"/>
        <v>0</v>
      </c>
      <c r="AB48" s="120">
        <f t="shared" si="26"/>
        <v>31</v>
      </c>
      <c r="AC48" s="120">
        <f t="shared" si="27"/>
        <v>8</v>
      </c>
      <c r="AD48" s="119"/>
      <c r="AE48" s="121">
        <f t="shared" si="28"/>
        <v>0</v>
      </c>
      <c r="AF48" s="121">
        <f t="shared" si="29"/>
        <v>0</v>
      </c>
      <c r="AG48" s="117">
        <f t="shared" si="47"/>
        <v>44</v>
      </c>
      <c r="AH48" s="171">
        <f t="shared" si="13"/>
        <v>88424</v>
      </c>
      <c r="AI48" s="171">
        <f t="shared" si="14"/>
        <v>660168</v>
      </c>
      <c r="AJ48" s="171">
        <f t="shared" si="15"/>
        <v>6271702</v>
      </c>
    </row>
    <row r="49" spans="1:36">
      <c r="A49" s="117">
        <v>45</v>
      </c>
      <c r="B49" s="130">
        <f t="shared" si="17"/>
        <v>82521</v>
      </c>
      <c r="C49" s="131">
        <f t="shared" si="7"/>
        <v>10310</v>
      </c>
      <c r="D49" s="131">
        <f t="shared" si="1"/>
        <v>92831</v>
      </c>
      <c r="E49" s="131">
        <f t="shared" si="8"/>
        <v>6189181</v>
      </c>
      <c r="F49" s="120">
        <f t="shared" si="18"/>
        <v>30</v>
      </c>
      <c r="G49" s="120">
        <f t="shared" si="19"/>
        <v>9</v>
      </c>
      <c r="H49" s="119"/>
      <c r="I49" s="121">
        <f t="shared" si="20"/>
        <v>98734</v>
      </c>
      <c r="J49" s="121">
        <f t="shared" si="21"/>
        <v>742689</v>
      </c>
      <c r="L49" s="117">
        <v>45</v>
      </c>
      <c r="M49" s="130" t="str">
        <f t="shared" si="42"/>
        <v/>
      </c>
      <c r="N49" s="131">
        <f t="shared" si="44"/>
        <v>0</v>
      </c>
      <c r="O49" s="131">
        <f t="shared" si="3"/>
        <v>0</v>
      </c>
      <c r="P49" s="131">
        <f t="shared" si="10"/>
        <v>0</v>
      </c>
      <c r="Q49" s="120">
        <f t="shared" si="22"/>
        <v>30</v>
      </c>
      <c r="R49" s="120">
        <f t="shared" si="23"/>
        <v>9</v>
      </c>
      <c r="S49" s="119"/>
      <c r="T49" s="121">
        <f t="shared" si="24"/>
        <v>0</v>
      </c>
      <c r="U49" s="121">
        <f t="shared" si="25"/>
        <v>0</v>
      </c>
      <c r="W49" s="117">
        <v>45</v>
      </c>
      <c r="X49" s="130" t="str">
        <f t="shared" si="43"/>
        <v/>
      </c>
      <c r="Y49" s="131">
        <f t="shared" si="45"/>
        <v>0</v>
      </c>
      <c r="Z49" s="131">
        <f t="shared" si="5"/>
        <v>0</v>
      </c>
      <c r="AA49" s="131">
        <f t="shared" si="12"/>
        <v>0</v>
      </c>
      <c r="AB49" s="120">
        <f t="shared" si="26"/>
        <v>30</v>
      </c>
      <c r="AC49" s="120">
        <f t="shared" si="27"/>
        <v>9</v>
      </c>
      <c r="AD49" s="119"/>
      <c r="AE49" s="121">
        <f t="shared" si="28"/>
        <v>0</v>
      </c>
      <c r="AF49" s="121">
        <f t="shared" si="29"/>
        <v>0</v>
      </c>
      <c r="AG49" s="117">
        <f t="shared" si="47"/>
        <v>45</v>
      </c>
      <c r="AH49" s="171">
        <f t="shared" si="13"/>
        <v>98734</v>
      </c>
      <c r="AI49" s="171">
        <f t="shared" si="14"/>
        <v>742689</v>
      </c>
      <c r="AJ49" s="171">
        <f t="shared" si="15"/>
        <v>6189181</v>
      </c>
    </row>
    <row r="50" spans="1:36">
      <c r="A50" s="117">
        <v>46</v>
      </c>
      <c r="B50" s="130">
        <f t="shared" si="17"/>
        <v>82521</v>
      </c>
      <c r="C50" s="131">
        <f t="shared" si="7"/>
        <v>10513</v>
      </c>
      <c r="D50" s="131">
        <f t="shared" si="1"/>
        <v>93034</v>
      </c>
      <c r="E50" s="131">
        <f t="shared" si="8"/>
        <v>6106660</v>
      </c>
      <c r="F50" s="120">
        <f t="shared" si="18"/>
        <v>31</v>
      </c>
      <c r="G50" s="120">
        <f t="shared" si="19"/>
        <v>10</v>
      </c>
      <c r="H50" s="119"/>
      <c r="I50" s="121">
        <f t="shared" si="20"/>
        <v>109247</v>
      </c>
      <c r="J50" s="121">
        <f t="shared" si="21"/>
        <v>825210</v>
      </c>
      <c r="L50" s="117">
        <v>46</v>
      </c>
      <c r="M50" s="130" t="str">
        <f t="shared" si="42"/>
        <v/>
      </c>
      <c r="N50" s="131">
        <f t="shared" si="44"/>
        <v>0</v>
      </c>
      <c r="O50" s="131">
        <f t="shared" si="3"/>
        <v>0</v>
      </c>
      <c r="P50" s="131">
        <f t="shared" si="10"/>
        <v>0</v>
      </c>
      <c r="Q50" s="120">
        <f t="shared" si="22"/>
        <v>31</v>
      </c>
      <c r="R50" s="120">
        <f t="shared" si="23"/>
        <v>10</v>
      </c>
      <c r="S50" s="119"/>
      <c r="T50" s="121">
        <f t="shared" si="24"/>
        <v>0</v>
      </c>
      <c r="U50" s="121">
        <f t="shared" si="25"/>
        <v>0</v>
      </c>
      <c r="W50" s="117">
        <v>46</v>
      </c>
      <c r="X50" s="130" t="str">
        <f t="shared" si="43"/>
        <v/>
      </c>
      <c r="Y50" s="131">
        <f t="shared" si="45"/>
        <v>0</v>
      </c>
      <c r="Z50" s="131">
        <f t="shared" si="5"/>
        <v>0</v>
      </c>
      <c r="AA50" s="131">
        <f t="shared" si="12"/>
        <v>0</v>
      </c>
      <c r="AB50" s="120">
        <f t="shared" si="26"/>
        <v>31</v>
      </c>
      <c r="AC50" s="120">
        <f t="shared" si="27"/>
        <v>10</v>
      </c>
      <c r="AD50" s="119"/>
      <c r="AE50" s="121">
        <f t="shared" si="28"/>
        <v>0</v>
      </c>
      <c r="AF50" s="121">
        <f t="shared" si="29"/>
        <v>0</v>
      </c>
      <c r="AG50" s="117">
        <f>+AG49+1</f>
        <v>46</v>
      </c>
      <c r="AH50" s="171">
        <f t="shared" si="13"/>
        <v>109247</v>
      </c>
      <c r="AI50" s="171">
        <f t="shared" si="14"/>
        <v>825210</v>
      </c>
      <c r="AJ50" s="171">
        <f t="shared" si="15"/>
        <v>6106660</v>
      </c>
    </row>
    <row r="51" spans="1:36">
      <c r="A51" s="117">
        <v>47</v>
      </c>
      <c r="B51" s="130">
        <f t="shared" si="17"/>
        <v>82521</v>
      </c>
      <c r="C51" s="131">
        <f t="shared" si="7"/>
        <v>10038</v>
      </c>
      <c r="D51" s="131">
        <f t="shared" si="1"/>
        <v>92559</v>
      </c>
      <c r="E51" s="131">
        <f t="shared" si="8"/>
        <v>6024139</v>
      </c>
      <c r="F51" s="120">
        <f t="shared" si="18"/>
        <v>30</v>
      </c>
      <c r="G51" s="120">
        <f t="shared" si="19"/>
        <v>11</v>
      </c>
      <c r="H51" s="119"/>
      <c r="I51" s="121">
        <f t="shared" si="20"/>
        <v>119285</v>
      </c>
      <c r="J51" s="121">
        <f t="shared" si="21"/>
        <v>907731</v>
      </c>
      <c r="L51" s="117">
        <v>47</v>
      </c>
      <c r="M51" s="130" t="str">
        <f t="shared" si="42"/>
        <v/>
      </c>
      <c r="N51" s="131">
        <f t="shared" si="44"/>
        <v>0</v>
      </c>
      <c r="O51" s="131">
        <f t="shared" si="3"/>
        <v>0</v>
      </c>
      <c r="P51" s="131">
        <f t="shared" si="10"/>
        <v>0</v>
      </c>
      <c r="Q51" s="120">
        <f t="shared" si="22"/>
        <v>30</v>
      </c>
      <c r="R51" s="120">
        <f t="shared" si="23"/>
        <v>11</v>
      </c>
      <c r="S51" s="119"/>
      <c r="T51" s="121">
        <f t="shared" si="24"/>
        <v>0</v>
      </c>
      <c r="U51" s="121">
        <f t="shared" si="25"/>
        <v>0</v>
      </c>
      <c r="W51" s="117">
        <v>47</v>
      </c>
      <c r="X51" s="130" t="str">
        <f t="shared" si="43"/>
        <v/>
      </c>
      <c r="Y51" s="131">
        <f t="shared" si="45"/>
        <v>0</v>
      </c>
      <c r="Z51" s="131">
        <f t="shared" si="5"/>
        <v>0</v>
      </c>
      <c r="AA51" s="131">
        <f t="shared" si="12"/>
        <v>0</v>
      </c>
      <c r="AB51" s="120">
        <f t="shared" si="26"/>
        <v>30</v>
      </c>
      <c r="AC51" s="120">
        <f t="shared" si="27"/>
        <v>11</v>
      </c>
      <c r="AD51" s="119"/>
      <c r="AE51" s="121">
        <f t="shared" si="28"/>
        <v>0</v>
      </c>
      <c r="AF51" s="121">
        <f t="shared" si="29"/>
        <v>0</v>
      </c>
      <c r="AG51" s="117">
        <f t="shared" ref="AG51:AG56" si="48">+AG50+1</f>
        <v>47</v>
      </c>
      <c r="AH51" s="171">
        <f t="shared" si="13"/>
        <v>119285</v>
      </c>
      <c r="AI51" s="171">
        <f t="shared" si="14"/>
        <v>907731</v>
      </c>
      <c r="AJ51" s="171">
        <f t="shared" si="15"/>
        <v>6024139</v>
      </c>
    </row>
    <row r="52" spans="1:36">
      <c r="A52" s="117">
        <v>48</v>
      </c>
      <c r="B52" s="130">
        <f t="shared" si="17"/>
        <v>82521</v>
      </c>
      <c r="C52" s="131">
        <f t="shared" si="7"/>
        <v>10233</v>
      </c>
      <c r="D52" s="131">
        <f t="shared" si="1"/>
        <v>92754</v>
      </c>
      <c r="E52" s="131">
        <f t="shared" si="8"/>
        <v>5941618</v>
      </c>
      <c r="F52" s="120">
        <f t="shared" si="18"/>
        <v>31</v>
      </c>
      <c r="G52" s="120">
        <f t="shared" si="19"/>
        <v>12</v>
      </c>
      <c r="H52" s="119"/>
      <c r="I52" s="121">
        <f t="shared" si="20"/>
        <v>129518</v>
      </c>
      <c r="J52" s="121">
        <f t="shared" si="21"/>
        <v>990252</v>
      </c>
      <c r="L52" s="117">
        <v>48</v>
      </c>
      <c r="M52" s="130" t="str">
        <f t="shared" si="42"/>
        <v/>
      </c>
      <c r="N52" s="131">
        <f t="shared" si="44"/>
        <v>0</v>
      </c>
      <c r="O52" s="131">
        <f t="shared" si="3"/>
        <v>0</v>
      </c>
      <c r="P52" s="131">
        <f t="shared" si="10"/>
        <v>0</v>
      </c>
      <c r="Q52" s="120">
        <f t="shared" si="22"/>
        <v>31</v>
      </c>
      <c r="R52" s="120">
        <f t="shared" si="23"/>
        <v>12</v>
      </c>
      <c r="S52" s="119"/>
      <c r="T52" s="121">
        <f t="shared" si="24"/>
        <v>0</v>
      </c>
      <c r="U52" s="121">
        <f t="shared" si="25"/>
        <v>0</v>
      </c>
      <c r="W52" s="117">
        <v>48</v>
      </c>
      <c r="X52" s="130" t="str">
        <f t="shared" si="43"/>
        <v/>
      </c>
      <c r="Y52" s="131">
        <f t="shared" si="45"/>
        <v>0</v>
      </c>
      <c r="Z52" s="131">
        <f t="shared" si="5"/>
        <v>0</v>
      </c>
      <c r="AA52" s="131">
        <f t="shared" si="12"/>
        <v>0</v>
      </c>
      <c r="AB52" s="120">
        <f t="shared" si="26"/>
        <v>31</v>
      </c>
      <c r="AC52" s="120">
        <f t="shared" si="27"/>
        <v>12</v>
      </c>
      <c r="AD52" s="119"/>
      <c r="AE52" s="121">
        <f t="shared" si="28"/>
        <v>0</v>
      </c>
      <c r="AF52" s="121">
        <f t="shared" si="29"/>
        <v>0</v>
      </c>
      <c r="AG52" s="117">
        <f t="shared" si="48"/>
        <v>48</v>
      </c>
      <c r="AH52" s="171">
        <f t="shared" si="13"/>
        <v>129518</v>
      </c>
      <c r="AI52" s="171">
        <f t="shared" si="14"/>
        <v>990252</v>
      </c>
      <c r="AJ52" s="171">
        <f t="shared" si="15"/>
        <v>5941618</v>
      </c>
    </row>
    <row r="53" spans="1:36">
      <c r="A53" s="117">
        <v>49</v>
      </c>
      <c r="B53" s="130">
        <f t="shared" si="17"/>
        <v>82521</v>
      </c>
      <c r="C53" s="131">
        <f t="shared" si="7"/>
        <v>10093</v>
      </c>
      <c r="D53" s="131">
        <f t="shared" si="1"/>
        <v>92614</v>
      </c>
      <c r="E53" s="131">
        <f t="shared" si="8"/>
        <v>5859097</v>
      </c>
      <c r="F53" s="120">
        <f t="shared" si="18"/>
        <v>31</v>
      </c>
      <c r="G53" s="120">
        <f t="shared" si="19"/>
        <v>1</v>
      </c>
      <c r="H53" s="119"/>
      <c r="I53" s="121">
        <f t="shared" si="20"/>
        <v>10093</v>
      </c>
      <c r="J53" s="121">
        <f t="shared" si="21"/>
        <v>82521</v>
      </c>
      <c r="L53" s="117">
        <v>49</v>
      </c>
      <c r="M53" s="130" t="str">
        <f t="shared" si="42"/>
        <v/>
      </c>
      <c r="N53" s="131">
        <f t="shared" si="44"/>
        <v>0</v>
      </c>
      <c r="O53" s="131">
        <f t="shared" si="3"/>
        <v>0</v>
      </c>
      <c r="P53" s="131">
        <f t="shared" si="10"/>
        <v>0</v>
      </c>
      <c r="Q53" s="120">
        <f t="shared" si="22"/>
        <v>31</v>
      </c>
      <c r="R53" s="120">
        <f t="shared" si="23"/>
        <v>1</v>
      </c>
      <c r="S53" s="119"/>
      <c r="T53" s="121">
        <f t="shared" si="24"/>
        <v>0</v>
      </c>
      <c r="U53" s="121" t="str">
        <f t="shared" si="25"/>
        <v/>
      </c>
      <c r="W53" s="117">
        <v>49</v>
      </c>
      <c r="X53" s="130" t="str">
        <f t="shared" si="43"/>
        <v/>
      </c>
      <c r="Y53" s="131">
        <f t="shared" si="45"/>
        <v>0</v>
      </c>
      <c r="Z53" s="131">
        <f t="shared" si="5"/>
        <v>0</v>
      </c>
      <c r="AA53" s="131">
        <f t="shared" si="12"/>
        <v>0</v>
      </c>
      <c r="AB53" s="120">
        <f t="shared" si="26"/>
        <v>31</v>
      </c>
      <c r="AC53" s="120">
        <f t="shared" si="27"/>
        <v>1</v>
      </c>
      <c r="AD53" s="119"/>
      <c r="AE53" s="121">
        <f t="shared" si="28"/>
        <v>0</v>
      </c>
      <c r="AF53" s="121" t="str">
        <f t="shared" si="29"/>
        <v/>
      </c>
      <c r="AG53" s="117">
        <f t="shared" si="48"/>
        <v>49</v>
      </c>
      <c r="AH53" s="171">
        <f t="shared" si="13"/>
        <v>10093</v>
      </c>
      <c r="AI53" s="171">
        <f t="shared" si="14"/>
        <v>82521</v>
      </c>
      <c r="AJ53" s="171">
        <f t="shared" si="15"/>
        <v>5859097</v>
      </c>
    </row>
    <row r="54" spans="1:36">
      <c r="A54" s="117">
        <v>50</v>
      </c>
      <c r="B54" s="130">
        <f t="shared" si="17"/>
        <v>82521</v>
      </c>
      <c r="C54" s="131">
        <f t="shared" si="7"/>
        <v>8989</v>
      </c>
      <c r="D54" s="131">
        <f t="shared" si="1"/>
        <v>91510</v>
      </c>
      <c r="E54" s="131">
        <f t="shared" si="8"/>
        <v>5776576</v>
      </c>
      <c r="F54" s="120">
        <f t="shared" si="18"/>
        <v>28</v>
      </c>
      <c r="G54" s="120">
        <f t="shared" si="19"/>
        <v>2</v>
      </c>
      <c r="H54" s="119"/>
      <c r="I54" s="121">
        <f t="shared" si="20"/>
        <v>19082</v>
      </c>
      <c r="J54" s="121">
        <f t="shared" si="21"/>
        <v>165042</v>
      </c>
      <c r="L54" s="117">
        <v>50</v>
      </c>
      <c r="M54" s="130" t="str">
        <f t="shared" si="42"/>
        <v/>
      </c>
      <c r="N54" s="131">
        <f t="shared" si="44"/>
        <v>0</v>
      </c>
      <c r="O54" s="131">
        <f t="shared" si="3"/>
        <v>0</v>
      </c>
      <c r="P54" s="131">
        <f t="shared" si="10"/>
        <v>0</v>
      </c>
      <c r="Q54" s="120">
        <f t="shared" si="22"/>
        <v>28</v>
      </c>
      <c r="R54" s="120">
        <f t="shared" si="23"/>
        <v>2</v>
      </c>
      <c r="S54" s="119"/>
      <c r="T54" s="121">
        <f t="shared" si="24"/>
        <v>0</v>
      </c>
      <c r="U54" s="121">
        <f t="shared" si="25"/>
        <v>0</v>
      </c>
      <c r="W54" s="117">
        <v>50</v>
      </c>
      <c r="X54" s="130" t="str">
        <f t="shared" si="43"/>
        <v/>
      </c>
      <c r="Y54" s="131">
        <f t="shared" si="45"/>
        <v>0</v>
      </c>
      <c r="Z54" s="131">
        <f t="shared" si="5"/>
        <v>0</v>
      </c>
      <c r="AA54" s="131">
        <f t="shared" si="12"/>
        <v>0</v>
      </c>
      <c r="AB54" s="120">
        <f t="shared" si="26"/>
        <v>28</v>
      </c>
      <c r="AC54" s="120">
        <f t="shared" si="27"/>
        <v>2</v>
      </c>
      <c r="AD54" s="119"/>
      <c r="AE54" s="121">
        <f t="shared" si="28"/>
        <v>0</v>
      </c>
      <c r="AF54" s="121">
        <f t="shared" si="29"/>
        <v>0</v>
      </c>
      <c r="AG54" s="117">
        <f t="shared" si="48"/>
        <v>50</v>
      </c>
      <c r="AH54" s="171">
        <f t="shared" si="13"/>
        <v>19082</v>
      </c>
      <c r="AI54" s="171">
        <f t="shared" si="14"/>
        <v>165042</v>
      </c>
      <c r="AJ54" s="171">
        <f t="shared" si="15"/>
        <v>5776576</v>
      </c>
    </row>
    <row r="55" spans="1:36">
      <c r="A55" s="117">
        <v>51</v>
      </c>
      <c r="B55" s="130">
        <f t="shared" si="17"/>
        <v>82521</v>
      </c>
      <c r="C55" s="131">
        <f t="shared" si="7"/>
        <v>9812</v>
      </c>
      <c r="D55" s="131">
        <f t="shared" si="1"/>
        <v>92333</v>
      </c>
      <c r="E55" s="131">
        <f t="shared" si="8"/>
        <v>5694055</v>
      </c>
      <c r="F55" s="120">
        <f t="shared" si="18"/>
        <v>31</v>
      </c>
      <c r="G55" s="120">
        <f t="shared" si="19"/>
        <v>3</v>
      </c>
      <c r="H55" s="119"/>
      <c r="I55" s="121">
        <f t="shared" si="20"/>
        <v>28894</v>
      </c>
      <c r="J55" s="121">
        <f t="shared" si="21"/>
        <v>247563</v>
      </c>
      <c r="L55" s="117">
        <v>51</v>
      </c>
      <c r="M55" s="130" t="str">
        <f t="shared" si="42"/>
        <v/>
      </c>
      <c r="N55" s="131">
        <f t="shared" si="44"/>
        <v>0</v>
      </c>
      <c r="O55" s="131">
        <f t="shared" si="3"/>
        <v>0</v>
      </c>
      <c r="P55" s="131">
        <f t="shared" si="10"/>
        <v>0</v>
      </c>
      <c r="Q55" s="120">
        <f t="shared" si="22"/>
        <v>31</v>
      </c>
      <c r="R55" s="120">
        <f t="shared" si="23"/>
        <v>3</v>
      </c>
      <c r="S55" s="119"/>
      <c r="T55" s="121">
        <f t="shared" si="24"/>
        <v>0</v>
      </c>
      <c r="U55" s="121">
        <f t="shared" si="25"/>
        <v>0</v>
      </c>
      <c r="W55" s="117">
        <v>51</v>
      </c>
      <c r="X55" s="130" t="str">
        <f t="shared" si="43"/>
        <v/>
      </c>
      <c r="Y55" s="131">
        <f t="shared" si="45"/>
        <v>0</v>
      </c>
      <c r="Z55" s="131">
        <f t="shared" si="5"/>
        <v>0</v>
      </c>
      <c r="AA55" s="131">
        <f t="shared" si="12"/>
        <v>0</v>
      </c>
      <c r="AB55" s="120">
        <f t="shared" si="26"/>
        <v>31</v>
      </c>
      <c r="AC55" s="120">
        <f t="shared" si="27"/>
        <v>3</v>
      </c>
      <c r="AD55" s="119"/>
      <c r="AE55" s="121">
        <f t="shared" si="28"/>
        <v>0</v>
      </c>
      <c r="AF55" s="121">
        <f t="shared" si="29"/>
        <v>0</v>
      </c>
      <c r="AG55" s="117">
        <f t="shared" si="48"/>
        <v>51</v>
      </c>
      <c r="AH55" s="171">
        <f t="shared" si="13"/>
        <v>28894</v>
      </c>
      <c r="AI55" s="171">
        <f t="shared" si="14"/>
        <v>247563</v>
      </c>
      <c r="AJ55" s="171">
        <f t="shared" si="15"/>
        <v>5694055</v>
      </c>
    </row>
    <row r="56" spans="1:36">
      <c r="A56" s="117">
        <v>52</v>
      </c>
      <c r="B56" s="130">
        <f t="shared" si="17"/>
        <v>82521</v>
      </c>
      <c r="C56" s="131">
        <f t="shared" si="7"/>
        <v>9360</v>
      </c>
      <c r="D56" s="131">
        <f t="shared" si="1"/>
        <v>91881</v>
      </c>
      <c r="E56" s="131">
        <f t="shared" si="8"/>
        <v>5611534</v>
      </c>
      <c r="F56" s="120">
        <f t="shared" si="18"/>
        <v>30</v>
      </c>
      <c r="G56" s="120">
        <f t="shared" si="19"/>
        <v>4</v>
      </c>
      <c r="H56" s="119"/>
      <c r="I56" s="121">
        <f t="shared" si="20"/>
        <v>38254</v>
      </c>
      <c r="J56" s="121">
        <f t="shared" si="21"/>
        <v>330084</v>
      </c>
      <c r="L56" s="117">
        <v>52</v>
      </c>
      <c r="M56" s="130" t="str">
        <f t="shared" si="42"/>
        <v/>
      </c>
      <c r="N56" s="131">
        <f t="shared" si="44"/>
        <v>0</v>
      </c>
      <c r="O56" s="131">
        <f t="shared" si="3"/>
        <v>0</v>
      </c>
      <c r="P56" s="131">
        <f t="shared" si="10"/>
        <v>0</v>
      </c>
      <c r="Q56" s="120">
        <f t="shared" si="22"/>
        <v>30</v>
      </c>
      <c r="R56" s="120">
        <f t="shared" si="23"/>
        <v>4</v>
      </c>
      <c r="S56" s="119"/>
      <c r="T56" s="121">
        <f t="shared" si="24"/>
        <v>0</v>
      </c>
      <c r="U56" s="121">
        <f t="shared" si="25"/>
        <v>0</v>
      </c>
      <c r="W56" s="117">
        <v>52</v>
      </c>
      <c r="X56" s="130" t="str">
        <f t="shared" si="43"/>
        <v/>
      </c>
      <c r="Y56" s="131">
        <f t="shared" si="45"/>
        <v>0</v>
      </c>
      <c r="Z56" s="131">
        <f t="shared" si="5"/>
        <v>0</v>
      </c>
      <c r="AA56" s="131">
        <f t="shared" si="12"/>
        <v>0</v>
      </c>
      <c r="AB56" s="120">
        <f t="shared" si="26"/>
        <v>30</v>
      </c>
      <c r="AC56" s="120">
        <f t="shared" si="27"/>
        <v>4</v>
      </c>
      <c r="AD56" s="119"/>
      <c r="AE56" s="121">
        <f t="shared" si="28"/>
        <v>0</v>
      </c>
      <c r="AF56" s="121">
        <f t="shared" si="29"/>
        <v>0</v>
      </c>
      <c r="AG56" s="117">
        <f t="shared" si="48"/>
        <v>52</v>
      </c>
      <c r="AH56" s="171">
        <f t="shared" si="13"/>
        <v>38254</v>
      </c>
      <c r="AI56" s="171">
        <f t="shared" si="14"/>
        <v>330084</v>
      </c>
      <c r="AJ56" s="171">
        <f t="shared" si="15"/>
        <v>5611534</v>
      </c>
    </row>
    <row r="57" spans="1:36">
      <c r="A57" s="117">
        <v>53</v>
      </c>
      <c r="B57" s="130">
        <f t="shared" si="17"/>
        <v>82521</v>
      </c>
      <c r="C57" s="131">
        <f t="shared" si="7"/>
        <v>9532</v>
      </c>
      <c r="D57" s="131">
        <f t="shared" si="1"/>
        <v>92053</v>
      </c>
      <c r="E57" s="131">
        <f t="shared" si="8"/>
        <v>5529013</v>
      </c>
      <c r="F57" s="120">
        <f t="shared" si="18"/>
        <v>31</v>
      </c>
      <c r="G57" s="120">
        <f t="shared" si="19"/>
        <v>5</v>
      </c>
      <c r="H57" s="119"/>
      <c r="I57" s="121">
        <f t="shared" si="20"/>
        <v>47786</v>
      </c>
      <c r="J57" s="121">
        <f t="shared" si="21"/>
        <v>412605</v>
      </c>
      <c r="L57" s="117">
        <v>53</v>
      </c>
      <c r="M57" s="130" t="str">
        <f t="shared" si="42"/>
        <v/>
      </c>
      <c r="N57" s="131">
        <f t="shared" si="44"/>
        <v>0</v>
      </c>
      <c r="O57" s="131">
        <f t="shared" si="3"/>
        <v>0</v>
      </c>
      <c r="P57" s="131">
        <f t="shared" si="10"/>
        <v>0</v>
      </c>
      <c r="Q57" s="120">
        <f t="shared" si="22"/>
        <v>31</v>
      </c>
      <c r="R57" s="120">
        <f t="shared" si="23"/>
        <v>5</v>
      </c>
      <c r="S57" s="119"/>
      <c r="T57" s="121">
        <f t="shared" si="24"/>
        <v>0</v>
      </c>
      <c r="U57" s="121">
        <f t="shared" si="25"/>
        <v>0</v>
      </c>
      <c r="W57" s="117">
        <v>53</v>
      </c>
      <c r="X57" s="130" t="str">
        <f t="shared" si="43"/>
        <v/>
      </c>
      <c r="Y57" s="131">
        <f t="shared" si="45"/>
        <v>0</v>
      </c>
      <c r="Z57" s="131">
        <f t="shared" si="5"/>
        <v>0</v>
      </c>
      <c r="AA57" s="131">
        <f t="shared" si="12"/>
        <v>0</v>
      </c>
      <c r="AB57" s="120">
        <f t="shared" si="26"/>
        <v>31</v>
      </c>
      <c r="AC57" s="120">
        <f t="shared" si="27"/>
        <v>5</v>
      </c>
      <c r="AD57" s="119"/>
      <c r="AE57" s="121">
        <f t="shared" si="28"/>
        <v>0</v>
      </c>
      <c r="AF57" s="121">
        <f t="shared" si="29"/>
        <v>0</v>
      </c>
      <c r="AG57" s="117">
        <f>+AG56+1</f>
        <v>53</v>
      </c>
      <c r="AH57" s="171">
        <f t="shared" si="13"/>
        <v>47786</v>
      </c>
      <c r="AI57" s="171">
        <f t="shared" si="14"/>
        <v>412605</v>
      </c>
      <c r="AJ57" s="171">
        <f t="shared" si="15"/>
        <v>5529013</v>
      </c>
    </row>
    <row r="58" spans="1:36">
      <c r="A58" s="117">
        <v>54</v>
      </c>
      <c r="B58" s="130">
        <f t="shared" si="17"/>
        <v>82521</v>
      </c>
      <c r="C58" s="131">
        <f t="shared" si="7"/>
        <v>9089</v>
      </c>
      <c r="D58" s="131">
        <f t="shared" si="1"/>
        <v>91610</v>
      </c>
      <c r="E58" s="131">
        <f t="shared" si="8"/>
        <v>5446492</v>
      </c>
      <c r="F58" s="120">
        <f t="shared" si="18"/>
        <v>30</v>
      </c>
      <c r="G58" s="120">
        <f t="shared" si="19"/>
        <v>6</v>
      </c>
      <c r="H58" s="119"/>
      <c r="I58" s="121">
        <f t="shared" si="20"/>
        <v>56875</v>
      </c>
      <c r="J58" s="121">
        <f t="shared" si="21"/>
        <v>495126</v>
      </c>
      <c r="L58" s="117">
        <v>54</v>
      </c>
      <c r="M58" s="130" t="str">
        <f t="shared" si="42"/>
        <v/>
      </c>
      <c r="N58" s="131">
        <f t="shared" si="44"/>
        <v>0</v>
      </c>
      <c r="O58" s="131">
        <f t="shared" si="3"/>
        <v>0</v>
      </c>
      <c r="P58" s="131">
        <f t="shared" si="10"/>
        <v>0</v>
      </c>
      <c r="Q58" s="120">
        <f t="shared" si="22"/>
        <v>30</v>
      </c>
      <c r="R58" s="120">
        <f t="shared" si="23"/>
        <v>6</v>
      </c>
      <c r="S58" s="119"/>
      <c r="T58" s="121">
        <f t="shared" si="24"/>
        <v>0</v>
      </c>
      <c r="U58" s="121">
        <f t="shared" si="25"/>
        <v>0</v>
      </c>
      <c r="W58" s="117">
        <v>54</v>
      </c>
      <c r="X58" s="130" t="str">
        <f t="shared" si="43"/>
        <v/>
      </c>
      <c r="Y58" s="131">
        <f t="shared" si="45"/>
        <v>0</v>
      </c>
      <c r="Z58" s="131">
        <f t="shared" si="5"/>
        <v>0</v>
      </c>
      <c r="AA58" s="131">
        <f t="shared" si="12"/>
        <v>0</v>
      </c>
      <c r="AB58" s="120">
        <f t="shared" si="26"/>
        <v>30</v>
      </c>
      <c r="AC58" s="120">
        <f t="shared" si="27"/>
        <v>6</v>
      </c>
      <c r="AD58" s="119"/>
      <c r="AE58" s="121">
        <f t="shared" si="28"/>
        <v>0</v>
      </c>
      <c r="AF58" s="121">
        <f t="shared" si="29"/>
        <v>0</v>
      </c>
      <c r="AG58" s="117">
        <f>+AG57+1</f>
        <v>54</v>
      </c>
      <c r="AH58" s="171">
        <f t="shared" si="13"/>
        <v>56875</v>
      </c>
      <c r="AI58" s="171">
        <f t="shared" si="14"/>
        <v>495126</v>
      </c>
      <c r="AJ58" s="171">
        <f t="shared" si="15"/>
        <v>5446492</v>
      </c>
    </row>
    <row r="59" spans="1:36">
      <c r="A59" s="117">
        <v>55</v>
      </c>
      <c r="B59" s="130">
        <f t="shared" si="17"/>
        <v>82521</v>
      </c>
      <c r="C59" s="131">
        <f t="shared" si="7"/>
        <v>9252</v>
      </c>
      <c r="D59" s="131">
        <f t="shared" si="1"/>
        <v>91773</v>
      </c>
      <c r="E59" s="131">
        <f t="shared" si="8"/>
        <v>5363971</v>
      </c>
      <c r="F59" s="120">
        <f t="shared" si="18"/>
        <v>31</v>
      </c>
      <c r="G59" s="120">
        <f t="shared" si="19"/>
        <v>7</v>
      </c>
      <c r="H59" s="119"/>
      <c r="I59" s="121">
        <f t="shared" si="20"/>
        <v>66127</v>
      </c>
      <c r="J59" s="121">
        <f t="shared" si="21"/>
        <v>577647</v>
      </c>
      <c r="L59" s="117">
        <v>55</v>
      </c>
      <c r="M59" s="130" t="str">
        <f t="shared" si="42"/>
        <v/>
      </c>
      <c r="N59" s="131">
        <f t="shared" si="44"/>
        <v>0</v>
      </c>
      <c r="O59" s="131">
        <f t="shared" si="3"/>
        <v>0</v>
      </c>
      <c r="P59" s="131">
        <f t="shared" si="10"/>
        <v>0</v>
      </c>
      <c r="Q59" s="120">
        <f t="shared" si="22"/>
        <v>31</v>
      </c>
      <c r="R59" s="120">
        <f t="shared" si="23"/>
        <v>7</v>
      </c>
      <c r="S59" s="119"/>
      <c r="T59" s="121">
        <f t="shared" si="24"/>
        <v>0</v>
      </c>
      <c r="U59" s="121">
        <f t="shared" si="25"/>
        <v>0</v>
      </c>
      <c r="W59" s="117">
        <v>55</v>
      </c>
      <c r="X59" s="130" t="str">
        <f t="shared" si="43"/>
        <v/>
      </c>
      <c r="Y59" s="131">
        <f t="shared" si="45"/>
        <v>0</v>
      </c>
      <c r="Z59" s="131">
        <f t="shared" si="5"/>
        <v>0</v>
      </c>
      <c r="AA59" s="131">
        <f t="shared" si="12"/>
        <v>0</v>
      </c>
      <c r="AB59" s="120">
        <f t="shared" si="26"/>
        <v>31</v>
      </c>
      <c r="AC59" s="120">
        <f t="shared" si="27"/>
        <v>7</v>
      </c>
      <c r="AD59" s="119"/>
      <c r="AE59" s="121">
        <f t="shared" si="28"/>
        <v>0</v>
      </c>
      <c r="AF59" s="121">
        <f t="shared" si="29"/>
        <v>0</v>
      </c>
      <c r="AG59" s="117">
        <f t="shared" ref="AG59:AG61" si="49">+AG58+1</f>
        <v>55</v>
      </c>
      <c r="AH59" s="171">
        <f t="shared" si="13"/>
        <v>66127</v>
      </c>
      <c r="AI59" s="171">
        <f t="shared" si="14"/>
        <v>577647</v>
      </c>
      <c r="AJ59" s="171">
        <f t="shared" si="15"/>
        <v>5363971</v>
      </c>
    </row>
    <row r="60" spans="1:36">
      <c r="A60" s="117">
        <v>56</v>
      </c>
      <c r="B60" s="130">
        <f t="shared" si="17"/>
        <v>82521</v>
      </c>
      <c r="C60" s="131">
        <f t="shared" si="7"/>
        <v>9111</v>
      </c>
      <c r="D60" s="131">
        <f t="shared" si="1"/>
        <v>91632</v>
      </c>
      <c r="E60" s="131">
        <f t="shared" si="8"/>
        <v>5281450</v>
      </c>
      <c r="F60" s="120">
        <f t="shared" si="18"/>
        <v>31</v>
      </c>
      <c r="G60" s="120">
        <f t="shared" si="19"/>
        <v>8</v>
      </c>
      <c r="H60" s="119"/>
      <c r="I60" s="121">
        <f t="shared" si="20"/>
        <v>75238</v>
      </c>
      <c r="J60" s="121">
        <f t="shared" si="21"/>
        <v>660168</v>
      </c>
      <c r="L60" s="117">
        <v>56</v>
      </c>
      <c r="M60" s="130" t="str">
        <f t="shared" si="42"/>
        <v/>
      </c>
      <c r="N60" s="131">
        <f t="shared" si="44"/>
        <v>0</v>
      </c>
      <c r="O60" s="131">
        <f t="shared" si="3"/>
        <v>0</v>
      </c>
      <c r="P60" s="131">
        <f t="shared" si="10"/>
        <v>0</v>
      </c>
      <c r="Q60" s="120">
        <f t="shared" si="22"/>
        <v>31</v>
      </c>
      <c r="R60" s="120">
        <f t="shared" si="23"/>
        <v>8</v>
      </c>
      <c r="S60" s="119"/>
      <c r="T60" s="121">
        <f t="shared" si="24"/>
        <v>0</v>
      </c>
      <c r="U60" s="121">
        <f t="shared" si="25"/>
        <v>0</v>
      </c>
      <c r="W60" s="117">
        <v>56</v>
      </c>
      <c r="X60" s="130" t="str">
        <f t="shared" si="43"/>
        <v/>
      </c>
      <c r="Y60" s="131">
        <f t="shared" si="45"/>
        <v>0</v>
      </c>
      <c r="Z60" s="131">
        <f t="shared" si="5"/>
        <v>0</v>
      </c>
      <c r="AA60" s="131">
        <f t="shared" si="12"/>
        <v>0</v>
      </c>
      <c r="AB60" s="120">
        <f t="shared" si="26"/>
        <v>31</v>
      </c>
      <c r="AC60" s="120">
        <f t="shared" si="27"/>
        <v>8</v>
      </c>
      <c r="AD60" s="119"/>
      <c r="AE60" s="121">
        <f t="shared" si="28"/>
        <v>0</v>
      </c>
      <c r="AF60" s="121">
        <f t="shared" si="29"/>
        <v>0</v>
      </c>
      <c r="AG60" s="117">
        <f t="shared" si="49"/>
        <v>56</v>
      </c>
      <c r="AH60" s="171">
        <f t="shared" si="13"/>
        <v>75238</v>
      </c>
      <c r="AI60" s="171">
        <f t="shared" si="14"/>
        <v>660168</v>
      </c>
      <c r="AJ60" s="171">
        <f t="shared" si="15"/>
        <v>5281450</v>
      </c>
    </row>
    <row r="61" spans="1:36">
      <c r="A61" s="117">
        <v>57</v>
      </c>
      <c r="B61" s="130">
        <f t="shared" si="17"/>
        <v>82521</v>
      </c>
      <c r="C61" s="131">
        <f t="shared" si="7"/>
        <v>8682</v>
      </c>
      <c r="D61" s="131">
        <f t="shared" si="1"/>
        <v>91203</v>
      </c>
      <c r="E61" s="131">
        <f t="shared" si="8"/>
        <v>5198929</v>
      </c>
      <c r="F61" s="120">
        <f t="shared" si="18"/>
        <v>30</v>
      </c>
      <c r="G61" s="120">
        <f t="shared" si="19"/>
        <v>9</v>
      </c>
      <c r="H61" s="119"/>
      <c r="I61" s="121">
        <f t="shared" si="20"/>
        <v>83920</v>
      </c>
      <c r="J61" s="121">
        <f t="shared" si="21"/>
        <v>742689</v>
      </c>
      <c r="L61" s="117">
        <v>57</v>
      </c>
      <c r="M61" s="130" t="str">
        <f t="shared" si="42"/>
        <v/>
      </c>
      <c r="N61" s="131">
        <f t="shared" si="44"/>
        <v>0</v>
      </c>
      <c r="O61" s="131">
        <f t="shared" si="3"/>
        <v>0</v>
      </c>
      <c r="P61" s="131">
        <f t="shared" si="10"/>
        <v>0</v>
      </c>
      <c r="Q61" s="120">
        <f t="shared" si="22"/>
        <v>30</v>
      </c>
      <c r="R61" s="120">
        <f t="shared" si="23"/>
        <v>9</v>
      </c>
      <c r="S61" s="119"/>
      <c r="T61" s="121">
        <f t="shared" si="24"/>
        <v>0</v>
      </c>
      <c r="U61" s="121">
        <f t="shared" si="25"/>
        <v>0</v>
      </c>
      <c r="W61" s="117">
        <v>57</v>
      </c>
      <c r="X61" s="130" t="str">
        <f t="shared" si="43"/>
        <v/>
      </c>
      <c r="Y61" s="131">
        <f t="shared" si="45"/>
        <v>0</v>
      </c>
      <c r="Z61" s="131">
        <f t="shared" si="5"/>
        <v>0</v>
      </c>
      <c r="AA61" s="131">
        <f t="shared" si="12"/>
        <v>0</v>
      </c>
      <c r="AB61" s="120">
        <f t="shared" si="26"/>
        <v>30</v>
      </c>
      <c r="AC61" s="120">
        <f t="shared" si="27"/>
        <v>9</v>
      </c>
      <c r="AD61" s="119"/>
      <c r="AE61" s="121">
        <f t="shared" si="28"/>
        <v>0</v>
      </c>
      <c r="AF61" s="121">
        <f t="shared" si="29"/>
        <v>0</v>
      </c>
      <c r="AG61" s="117">
        <f t="shared" si="49"/>
        <v>57</v>
      </c>
      <c r="AH61" s="171">
        <f t="shared" si="13"/>
        <v>83920</v>
      </c>
      <c r="AI61" s="171">
        <f t="shared" si="14"/>
        <v>742689</v>
      </c>
      <c r="AJ61" s="171">
        <f t="shared" si="15"/>
        <v>5198929</v>
      </c>
    </row>
    <row r="62" spans="1:36">
      <c r="A62" s="117">
        <v>58</v>
      </c>
      <c r="B62" s="130">
        <f t="shared" si="17"/>
        <v>82521</v>
      </c>
      <c r="C62" s="131">
        <f t="shared" si="7"/>
        <v>8831</v>
      </c>
      <c r="D62" s="131">
        <f t="shared" si="1"/>
        <v>91352</v>
      </c>
      <c r="E62" s="131">
        <f t="shared" si="8"/>
        <v>5116408</v>
      </c>
      <c r="F62" s="120">
        <f t="shared" si="18"/>
        <v>31</v>
      </c>
      <c r="G62" s="120">
        <f t="shared" si="19"/>
        <v>10</v>
      </c>
      <c r="H62" s="119"/>
      <c r="I62" s="121">
        <f t="shared" si="20"/>
        <v>92751</v>
      </c>
      <c r="J62" s="121">
        <f t="shared" si="21"/>
        <v>825210</v>
      </c>
      <c r="L62" s="117">
        <v>58</v>
      </c>
      <c r="M62" s="130" t="str">
        <f t="shared" si="42"/>
        <v/>
      </c>
      <c r="N62" s="131">
        <f t="shared" si="44"/>
        <v>0</v>
      </c>
      <c r="O62" s="131">
        <f t="shared" si="3"/>
        <v>0</v>
      </c>
      <c r="P62" s="131">
        <f t="shared" si="10"/>
        <v>0</v>
      </c>
      <c r="Q62" s="120">
        <f t="shared" si="22"/>
        <v>31</v>
      </c>
      <c r="R62" s="120">
        <f t="shared" si="23"/>
        <v>10</v>
      </c>
      <c r="S62" s="119"/>
      <c r="T62" s="121">
        <f t="shared" si="24"/>
        <v>0</v>
      </c>
      <c r="U62" s="121">
        <f t="shared" si="25"/>
        <v>0</v>
      </c>
      <c r="W62" s="117">
        <v>58</v>
      </c>
      <c r="X62" s="130" t="str">
        <f t="shared" si="43"/>
        <v/>
      </c>
      <c r="Y62" s="131">
        <f t="shared" si="45"/>
        <v>0</v>
      </c>
      <c r="Z62" s="131">
        <f t="shared" si="5"/>
        <v>0</v>
      </c>
      <c r="AA62" s="131">
        <f t="shared" si="12"/>
        <v>0</v>
      </c>
      <c r="AB62" s="120">
        <f t="shared" si="26"/>
        <v>31</v>
      </c>
      <c r="AC62" s="120">
        <f t="shared" si="27"/>
        <v>10</v>
      </c>
      <c r="AD62" s="119"/>
      <c r="AE62" s="121">
        <f t="shared" si="28"/>
        <v>0</v>
      </c>
      <c r="AF62" s="121">
        <f t="shared" si="29"/>
        <v>0</v>
      </c>
      <c r="AG62" s="117">
        <f>+AG61+1</f>
        <v>58</v>
      </c>
      <c r="AH62" s="171">
        <f t="shared" si="13"/>
        <v>92751</v>
      </c>
      <c r="AI62" s="171">
        <f t="shared" si="14"/>
        <v>825210</v>
      </c>
      <c r="AJ62" s="171">
        <f t="shared" si="15"/>
        <v>5116408</v>
      </c>
    </row>
    <row r="63" spans="1:36">
      <c r="A63" s="117">
        <v>59</v>
      </c>
      <c r="B63" s="130">
        <f t="shared" si="17"/>
        <v>82521</v>
      </c>
      <c r="C63" s="131">
        <f t="shared" si="7"/>
        <v>8411</v>
      </c>
      <c r="D63" s="131">
        <f t="shared" si="1"/>
        <v>90932</v>
      </c>
      <c r="E63" s="131">
        <f t="shared" si="8"/>
        <v>5033887</v>
      </c>
      <c r="F63" s="120">
        <f t="shared" si="18"/>
        <v>30</v>
      </c>
      <c r="G63" s="120">
        <f t="shared" si="19"/>
        <v>11</v>
      </c>
      <c r="H63" s="119"/>
      <c r="I63" s="121">
        <f t="shared" si="20"/>
        <v>101162</v>
      </c>
      <c r="J63" s="121">
        <f t="shared" si="21"/>
        <v>907731</v>
      </c>
      <c r="L63" s="117">
        <v>59</v>
      </c>
      <c r="M63" s="130" t="str">
        <f t="shared" si="42"/>
        <v/>
      </c>
      <c r="N63" s="131">
        <f t="shared" si="44"/>
        <v>0</v>
      </c>
      <c r="O63" s="131">
        <f t="shared" si="3"/>
        <v>0</v>
      </c>
      <c r="P63" s="131">
        <f t="shared" si="10"/>
        <v>0</v>
      </c>
      <c r="Q63" s="120">
        <f t="shared" si="22"/>
        <v>30</v>
      </c>
      <c r="R63" s="120">
        <f t="shared" si="23"/>
        <v>11</v>
      </c>
      <c r="S63" s="119"/>
      <c r="T63" s="121">
        <f t="shared" si="24"/>
        <v>0</v>
      </c>
      <c r="U63" s="121">
        <f t="shared" si="25"/>
        <v>0</v>
      </c>
      <c r="W63" s="117">
        <v>59</v>
      </c>
      <c r="X63" s="130" t="str">
        <f t="shared" si="43"/>
        <v/>
      </c>
      <c r="Y63" s="131">
        <f t="shared" si="45"/>
        <v>0</v>
      </c>
      <c r="Z63" s="131">
        <f t="shared" si="5"/>
        <v>0</v>
      </c>
      <c r="AA63" s="131">
        <f t="shared" si="12"/>
        <v>0</v>
      </c>
      <c r="AB63" s="120">
        <f t="shared" si="26"/>
        <v>30</v>
      </c>
      <c r="AC63" s="120">
        <f t="shared" si="27"/>
        <v>11</v>
      </c>
      <c r="AD63" s="119"/>
      <c r="AE63" s="121">
        <f t="shared" si="28"/>
        <v>0</v>
      </c>
      <c r="AF63" s="121">
        <f t="shared" si="29"/>
        <v>0</v>
      </c>
      <c r="AG63" s="117">
        <f t="shared" ref="AG63:AG68" si="50">+AG62+1</f>
        <v>59</v>
      </c>
      <c r="AH63" s="171">
        <f t="shared" si="13"/>
        <v>101162</v>
      </c>
      <c r="AI63" s="171">
        <f t="shared" si="14"/>
        <v>907731</v>
      </c>
      <c r="AJ63" s="171">
        <f t="shared" si="15"/>
        <v>5033887</v>
      </c>
    </row>
    <row r="64" spans="1:36">
      <c r="A64" s="117">
        <v>60</v>
      </c>
      <c r="B64" s="130">
        <f t="shared" si="17"/>
        <v>82521</v>
      </c>
      <c r="C64" s="131">
        <f t="shared" si="7"/>
        <v>8551</v>
      </c>
      <c r="D64" s="131">
        <f t="shared" si="1"/>
        <v>91072</v>
      </c>
      <c r="E64" s="131">
        <f t="shared" si="8"/>
        <v>4951366</v>
      </c>
      <c r="F64" s="120">
        <f t="shared" si="18"/>
        <v>31</v>
      </c>
      <c r="G64" s="120">
        <f t="shared" si="19"/>
        <v>12</v>
      </c>
      <c r="H64" s="119"/>
      <c r="I64" s="121">
        <f t="shared" si="20"/>
        <v>109713</v>
      </c>
      <c r="J64" s="121">
        <f t="shared" si="21"/>
        <v>990252</v>
      </c>
      <c r="L64" s="117">
        <v>60</v>
      </c>
      <c r="M64" s="130" t="str">
        <f t="shared" si="42"/>
        <v/>
      </c>
      <c r="N64" s="131">
        <f t="shared" si="44"/>
        <v>0</v>
      </c>
      <c r="O64" s="131">
        <f t="shared" si="3"/>
        <v>0</v>
      </c>
      <c r="P64" s="131">
        <f t="shared" si="10"/>
        <v>0</v>
      </c>
      <c r="Q64" s="120">
        <f t="shared" si="22"/>
        <v>31</v>
      </c>
      <c r="R64" s="120">
        <f t="shared" si="23"/>
        <v>12</v>
      </c>
      <c r="S64" s="119"/>
      <c r="T64" s="121">
        <f t="shared" si="24"/>
        <v>0</v>
      </c>
      <c r="U64" s="121">
        <f t="shared" si="25"/>
        <v>0</v>
      </c>
      <c r="W64" s="117">
        <v>60</v>
      </c>
      <c r="X64" s="130" t="str">
        <f t="shared" si="43"/>
        <v/>
      </c>
      <c r="Y64" s="131">
        <f t="shared" si="45"/>
        <v>0</v>
      </c>
      <c r="Z64" s="131">
        <f t="shared" si="5"/>
        <v>0</v>
      </c>
      <c r="AA64" s="131">
        <f t="shared" si="12"/>
        <v>0</v>
      </c>
      <c r="AB64" s="120">
        <f t="shared" si="26"/>
        <v>31</v>
      </c>
      <c r="AC64" s="120">
        <f t="shared" si="27"/>
        <v>12</v>
      </c>
      <c r="AD64" s="119"/>
      <c r="AE64" s="121">
        <f t="shared" si="28"/>
        <v>0</v>
      </c>
      <c r="AF64" s="121">
        <f t="shared" si="29"/>
        <v>0</v>
      </c>
      <c r="AG64" s="117">
        <f t="shared" si="50"/>
        <v>60</v>
      </c>
      <c r="AH64" s="171">
        <f t="shared" si="13"/>
        <v>109713</v>
      </c>
      <c r="AI64" s="171">
        <f t="shared" si="14"/>
        <v>990252</v>
      </c>
      <c r="AJ64" s="171">
        <f t="shared" si="15"/>
        <v>4951366</v>
      </c>
    </row>
    <row r="65" spans="1:36">
      <c r="A65" s="117">
        <v>61</v>
      </c>
      <c r="B65" s="130">
        <f t="shared" si="17"/>
        <v>82521</v>
      </c>
      <c r="C65" s="131">
        <f t="shared" si="7"/>
        <v>8411</v>
      </c>
      <c r="D65" s="131">
        <f t="shared" si="1"/>
        <v>90932</v>
      </c>
      <c r="E65" s="131">
        <f t="shared" si="8"/>
        <v>4868845</v>
      </c>
      <c r="F65" s="120">
        <f t="shared" si="18"/>
        <v>31</v>
      </c>
      <c r="G65" s="120">
        <f t="shared" si="19"/>
        <v>1</v>
      </c>
      <c r="H65" s="119"/>
      <c r="I65" s="121">
        <f t="shared" si="20"/>
        <v>8411</v>
      </c>
      <c r="J65" s="121">
        <f t="shared" si="21"/>
        <v>82521</v>
      </c>
      <c r="L65" s="117">
        <v>61</v>
      </c>
      <c r="M65" s="130" t="str">
        <f t="shared" si="42"/>
        <v/>
      </c>
      <c r="N65" s="131">
        <f t="shared" si="44"/>
        <v>0</v>
      </c>
      <c r="O65" s="131">
        <f t="shared" si="3"/>
        <v>0</v>
      </c>
      <c r="P65" s="131">
        <f t="shared" si="10"/>
        <v>0</v>
      </c>
      <c r="Q65" s="120">
        <f t="shared" si="22"/>
        <v>31</v>
      </c>
      <c r="R65" s="120">
        <f t="shared" si="23"/>
        <v>1</v>
      </c>
      <c r="S65" s="119"/>
      <c r="T65" s="121">
        <f t="shared" si="24"/>
        <v>0</v>
      </c>
      <c r="U65" s="121" t="str">
        <f t="shared" si="25"/>
        <v/>
      </c>
      <c r="W65" s="117">
        <v>61</v>
      </c>
      <c r="X65" s="130" t="str">
        <f t="shared" si="43"/>
        <v/>
      </c>
      <c r="Y65" s="131">
        <f t="shared" si="45"/>
        <v>0</v>
      </c>
      <c r="Z65" s="131">
        <f t="shared" si="5"/>
        <v>0</v>
      </c>
      <c r="AA65" s="131">
        <f t="shared" si="12"/>
        <v>0</v>
      </c>
      <c r="AB65" s="120">
        <f t="shared" si="26"/>
        <v>31</v>
      </c>
      <c r="AC65" s="120">
        <f t="shared" si="27"/>
        <v>1</v>
      </c>
      <c r="AD65" s="119"/>
      <c r="AE65" s="121">
        <f t="shared" si="28"/>
        <v>0</v>
      </c>
      <c r="AF65" s="121" t="str">
        <f t="shared" si="29"/>
        <v/>
      </c>
      <c r="AG65" s="117">
        <f t="shared" si="50"/>
        <v>61</v>
      </c>
      <c r="AH65" s="171">
        <f t="shared" si="13"/>
        <v>8411</v>
      </c>
      <c r="AI65" s="171">
        <f t="shared" si="14"/>
        <v>82521</v>
      </c>
      <c r="AJ65" s="171">
        <f t="shared" si="15"/>
        <v>4868845</v>
      </c>
    </row>
    <row r="66" spans="1:36">
      <c r="A66" s="117">
        <v>62</v>
      </c>
      <c r="B66" s="130">
        <f t="shared" si="17"/>
        <v>82521</v>
      </c>
      <c r="C66" s="131">
        <f t="shared" si="7"/>
        <v>7470</v>
      </c>
      <c r="D66" s="131">
        <f t="shared" si="1"/>
        <v>89991</v>
      </c>
      <c r="E66" s="131">
        <f t="shared" si="8"/>
        <v>4786324</v>
      </c>
      <c r="F66" s="120">
        <f t="shared" si="18"/>
        <v>28</v>
      </c>
      <c r="G66" s="120">
        <f t="shared" si="19"/>
        <v>2</v>
      </c>
      <c r="H66" s="119"/>
      <c r="I66" s="121">
        <f t="shared" si="20"/>
        <v>15881</v>
      </c>
      <c r="J66" s="121">
        <f t="shared" si="21"/>
        <v>165042</v>
      </c>
      <c r="L66" s="117">
        <v>62</v>
      </c>
      <c r="M66" s="130" t="str">
        <f t="shared" si="42"/>
        <v/>
      </c>
      <c r="N66" s="131">
        <f t="shared" si="44"/>
        <v>0</v>
      </c>
      <c r="O66" s="131">
        <f t="shared" si="3"/>
        <v>0</v>
      </c>
      <c r="P66" s="131">
        <f t="shared" si="10"/>
        <v>0</v>
      </c>
      <c r="Q66" s="120">
        <f t="shared" si="22"/>
        <v>28</v>
      </c>
      <c r="R66" s="120">
        <f t="shared" si="23"/>
        <v>2</v>
      </c>
      <c r="S66" s="119"/>
      <c r="T66" s="121">
        <f t="shared" si="24"/>
        <v>0</v>
      </c>
      <c r="U66" s="121">
        <f t="shared" si="25"/>
        <v>0</v>
      </c>
      <c r="W66" s="117">
        <v>62</v>
      </c>
      <c r="X66" s="130" t="str">
        <f t="shared" si="43"/>
        <v/>
      </c>
      <c r="Y66" s="131">
        <f t="shared" si="45"/>
        <v>0</v>
      </c>
      <c r="Z66" s="131">
        <f t="shared" si="5"/>
        <v>0</v>
      </c>
      <c r="AA66" s="131">
        <f t="shared" si="12"/>
        <v>0</v>
      </c>
      <c r="AB66" s="120">
        <f t="shared" si="26"/>
        <v>28</v>
      </c>
      <c r="AC66" s="120">
        <f t="shared" si="27"/>
        <v>2</v>
      </c>
      <c r="AD66" s="119"/>
      <c r="AE66" s="121">
        <f t="shared" si="28"/>
        <v>0</v>
      </c>
      <c r="AF66" s="121">
        <f t="shared" si="29"/>
        <v>0</v>
      </c>
      <c r="AG66" s="117">
        <f t="shared" si="50"/>
        <v>62</v>
      </c>
      <c r="AH66" s="171">
        <f t="shared" si="13"/>
        <v>15881</v>
      </c>
      <c r="AI66" s="171">
        <f t="shared" si="14"/>
        <v>165042</v>
      </c>
      <c r="AJ66" s="171">
        <f t="shared" si="15"/>
        <v>4786324</v>
      </c>
    </row>
    <row r="67" spans="1:36">
      <c r="A67" s="117">
        <v>63</v>
      </c>
      <c r="B67" s="130">
        <f t="shared" si="17"/>
        <v>82521</v>
      </c>
      <c r="C67" s="131">
        <f t="shared" si="7"/>
        <v>8130</v>
      </c>
      <c r="D67" s="131">
        <f t="shared" si="1"/>
        <v>90651</v>
      </c>
      <c r="E67" s="131">
        <f t="shared" si="8"/>
        <v>4703803</v>
      </c>
      <c r="F67" s="120">
        <f t="shared" si="18"/>
        <v>31</v>
      </c>
      <c r="G67" s="120">
        <f t="shared" si="19"/>
        <v>3</v>
      </c>
      <c r="H67" s="119"/>
      <c r="I67" s="121">
        <f t="shared" si="20"/>
        <v>24011</v>
      </c>
      <c r="J67" s="121">
        <f t="shared" si="21"/>
        <v>247563</v>
      </c>
      <c r="L67" s="117">
        <v>63</v>
      </c>
      <c r="M67" s="130" t="str">
        <f t="shared" si="42"/>
        <v/>
      </c>
      <c r="N67" s="131">
        <f t="shared" si="44"/>
        <v>0</v>
      </c>
      <c r="O67" s="131">
        <f t="shared" si="3"/>
        <v>0</v>
      </c>
      <c r="P67" s="131">
        <f t="shared" si="10"/>
        <v>0</v>
      </c>
      <c r="Q67" s="120">
        <f t="shared" si="22"/>
        <v>31</v>
      </c>
      <c r="R67" s="120">
        <f t="shared" si="23"/>
        <v>3</v>
      </c>
      <c r="S67" s="119"/>
      <c r="T67" s="121">
        <f t="shared" si="24"/>
        <v>0</v>
      </c>
      <c r="U67" s="121">
        <f t="shared" si="25"/>
        <v>0</v>
      </c>
      <c r="W67" s="117">
        <v>63</v>
      </c>
      <c r="X67" s="130" t="str">
        <f t="shared" si="43"/>
        <v/>
      </c>
      <c r="Y67" s="131">
        <f t="shared" si="45"/>
        <v>0</v>
      </c>
      <c r="Z67" s="131">
        <f t="shared" si="5"/>
        <v>0</v>
      </c>
      <c r="AA67" s="131">
        <f t="shared" si="12"/>
        <v>0</v>
      </c>
      <c r="AB67" s="120">
        <f t="shared" si="26"/>
        <v>31</v>
      </c>
      <c r="AC67" s="120">
        <f t="shared" si="27"/>
        <v>3</v>
      </c>
      <c r="AD67" s="119"/>
      <c r="AE67" s="121">
        <f t="shared" si="28"/>
        <v>0</v>
      </c>
      <c r="AF67" s="121">
        <f t="shared" si="29"/>
        <v>0</v>
      </c>
      <c r="AG67" s="117">
        <f t="shared" si="50"/>
        <v>63</v>
      </c>
      <c r="AH67" s="171">
        <f t="shared" si="13"/>
        <v>24011</v>
      </c>
      <c r="AI67" s="171">
        <f t="shared" si="14"/>
        <v>247563</v>
      </c>
      <c r="AJ67" s="171">
        <f t="shared" si="15"/>
        <v>4703803</v>
      </c>
    </row>
    <row r="68" spans="1:36">
      <c r="A68" s="117">
        <v>64</v>
      </c>
      <c r="B68" s="130">
        <f t="shared" si="17"/>
        <v>82521</v>
      </c>
      <c r="C68" s="131">
        <f t="shared" si="7"/>
        <v>7732</v>
      </c>
      <c r="D68" s="131">
        <f t="shared" si="1"/>
        <v>90253</v>
      </c>
      <c r="E68" s="131">
        <f t="shared" si="8"/>
        <v>4621282</v>
      </c>
      <c r="F68" s="120">
        <f t="shared" si="18"/>
        <v>30</v>
      </c>
      <c r="G68" s="120">
        <f t="shared" si="19"/>
        <v>4</v>
      </c>
      <c r="H68" s="119"/>
      <c r="I68" s="121">
        <f t="shared" si="20"/>
        <v>31743</v>
      </c>
      <c r="J68" s="121">
        <f t="shared" si="21"/>
        <v>330084</v>
      </c>
      <c r="L68" s="117">
        <v>64</v>
      </c>
      <c r="M68" s="130" t="str">
        <f t="shared" si="42"/>
        <v/>
      </c>
      <c r="N68" s="131">
        <f t="shared" si="44"/>
        <v>0</v>
      </c>
      <c r="O68" s="131">
        <f t="shared" si="3"/>
        <v>0</v>
      </c>
      <c r="P68" s="131">
        <f t="shared" si="10"/>
        <v>0</v>
      </c>
      <c r="Q68" s="120">
        <f t="shared" si="22"/>
        <v>30</v>
      </c>
      <c r="R68" s="120">
        <f t="shared" si="23"/>
        <v>4</v>
      </c>
      <c r="S68" s="119"/>
      <c r="T68" s="121">
        <f t="shared" si="24"/>
        <v>0</v>
      </c>
      <c r="U68" s="121">
        <f t="shared" si="25"/>
        <v>0</v>
      </c>
      <c r="W68" s="117">
        <v>64</v>
      </c>
      <c r="X68" s="130" t="str">
        <f t="shared" si="43"/>
        <v/>
      </c>
      <c r="Y68" s="131">
        <f t="shared" si="45"/>
        <v>0</v>
      </c>
      <c r="Z68" s="131">
        <f t="shared" si="5"/>
        <v>0</v>
      </c>
      <c r="AA68" s="131">
        <f t="shared" si="12"/>
        <v>0</v>
      </c>
      <c r="AB68" s="120">
        <f t="shared" si="26"/>
        <v>30</v>
      </c>
      <c r="AC68" s="120">
        <f t="shared" si="27"/>
        <v>4</v>
      </c>
      <c r="AD68" s="119"/>
      <c r="AE68" s="121">
        <f t="shared" si="28"/>
        <v>0</v>
      </c>
      <c r="AF68" s="121">
        <f t="shared" si="29"/>
        <v>0</v>
      </c>
      <c r="AG68" s="117">
        <f t="shared" si="50"/>
        <v>64</v>
      </c>
      <c r="AH68" s="171">
        <f t="shared" si="13"/>
        <v>31743</v>
      </c>
      <c r="AI68" s="171">
        <f t="shared" si="14"/>
        <v>330084</v>
      </c>
      <c r="AJ68" s="171">
        <f t="shared" si="15"/>
        <v>4621282</v>
      </c>
    </row>
    <row r="69" spans="1:36">
      <c r="A69" s="117">
        <v>65</v>
      </c>
      <c r="B69" s="130">
        <f t="shared" si="17"/>
        <v>82521</v>
      </c>
      <c r="C69" s="131">
        <f t="shared" si="7"/>
        <v>7850</v>
      </c>
      <c r="D69" s="131">
        <f t="shared" ref="D69:D124" si="51">B69+C69</f>
        <v>90371</v>
      </c>
      <c r="E69" s="131">
        <f t="shared" si="8"/>
        <v>4538761</v>
      </c>
      <c r="F69" s="120">
        <f t="shared" si="18"/>
        <v>31</v>
      </c>
      <c r="G69" s="120">
        <f t="shared" si="19"/>
        <v>5</v>
      </c>
      <c r="H69" s="119"/>
      <c r="I69" s="121">
        <f t="shared" si="20"/>
        <v>39593</v>
      </c>
      <c r="J69" s="121">
        <f t="shared" si="21"/>
        <v>412605</v>
      </c>
      <c r="L69" s="117">
        <v>65</v>
      </c>
      <c r="M69" s="130" t="str">
        <f t="shared" ref="M69:M100" si="52">IF(L69&gt;=$O$3+1,"",IF(L69&lt;$Q$2+1,0,TRUNC($Q$3/($O$3-$Q$2))*1))</f>
        <v/>
      </c>
      <c r="N69" s="131">
        <f t="shared" si="44"/>
        <v>0</v>
      </c>
      <c r="O69" s="131">
        <f t="shared" ref="O69:O124" si="53">M69+N69</f>
        <v>0</v>
      </c>
      <c r="P69" s="131">
        <f t="shared" si="10"/>
        <v>0</v>
      </c>
      <c r="Q69" s="120">
        <f t="shared" si="22"/>
        <v>31</v>
      </c>
      <c r="R69" s="120">
        <f t="shared" si="23"/>
        <v>5</v>
      </c>
      <c r="S69" s="119"/>
      <c r="T69" s="121">
        <f t="shared" si="24"/>
        <v>0</v>
      </c>
      <c r="U69" s="121">
        <f t="shared" si="25"/>
        <v>0</v>
      </c>
      <c r="W69" s="117">
        <v>65</v>
      </c>
      <c r="X69" s="130" t="str">
        <f t="shared" ref="X69:X100" si="54">IF(W69&gt;=$Z$3+1,"",IF(W69&lt;$AB$2+1,0,TRUNC($AB$3/($Z$3-$AB$2))*1))</f>
        <v/>
      </c>
      <c r="Y69" s="131">
        <f t="shared" si="45"/>
        <v>0</v>
      </c>
      <c r="Z69" s="131">
        <f t="shared" ref="Z69:Z124" si="55">X69+Y69</f>
        <v>0</v>
      </c>
      <c r="AA69" s="131">
        <f t="shared" si="12"/>
        <v>0</v>
      </c>
      <c r="AB69" s="120">
        <f t="shared" si="26"/>
        <v>31</v>
      </c>
      <c r="AC69" s="120">
        <f t="shared" si="27"/>
        <v>5</v>
      </c>
      <c r="AD69" s="119"/>
      <c r="AE69" s="121">
        <f t="shared" si="28"/>
        <v>0</v>
      </c>
      <c r="AF69" s="121">
        <f t="shared" si="29"/>
        <v>0</v>
      </c>
      <c r="AG69" s="117">
        <f>+AG68+1</f>
        <v>65</v>
      </c>
      <c r="AH69" s="171">
        <f t="shared" si="13"/>
        <v>39593</v>
      </c>
      <c r="AI69" s="171">
        <f t="shared" si="14"/>
        <v>412605</v>
      </c>
      <c r="AJ69" s="171">
        <f t="shared" si="15"/>
        <v>4538761</v>
      </c>
    </row>
    <row r="70" spans="1:36">
      <c r="A70" s="117">
        <v>66</v>
      </c>
      <c r="B70" s="130">
        <f t="shared" si="17"/>
        <v>82521</v>
      </c>
      <c r="C70" s="131">
        <f t="shared" ref="C70:C124" si="56">ROUND(E69*$D$2/365*F70,0)</f>
        <v>7461</v>
      </c>
      <c r="D70" s="131">
        <f t="shared" si="51"/>
        <v>89982</v>
      </c>
      <c r="E70" s="131">
        <f t="shared" ref="E70:E124" si="57">E69-B70</f>
        <v>4456240</v>
      </c>
      <c r="F70" s="120">
        <f t="shared" si="18"/>
        <v>30</v>
      </c>
      <c r="G70" s="120">
        <f t="shared" si="19"/>
        <v>6</v>
      </c>
      <c r="H70" s="119"/>
      <c r="I70" s="121">
        <f t="shared" si="20"/>
        <v>47054</v>
      </c>
      <c r="J70" s="121">
        <f t="shared" si="21"/>
        <v>495126</v>
      </c>
      <c r="L70" s="117">
        <v>66</v>
      </c>
      <c r="M70" s="130" t="str">
        <f t="shared" si="52"/>
        <v/>
      </c>
      <c r="N70" s="131">
        <f t="shared" ref="N70:N101" si="58">ROUND(P69*$O$2/365*Q70,0)</f>
        <v>0</v>
      </c>
      <c r="O70" s="131">
        <f t="shared" si="53"/>
        <v>0</v>
      </c>
      <c r="P70" s="131">
        <f t="shared" ref="P70:P124" si="59">P69-M70</f>
        <v>0</v>
      </c>
      <c r="Q70" s="120">
        <f t="shared" si="22"/>
        <v>30</v>
      </c>
      <c r="R70" s="120">
        <f t="shared" si="23"/>
        <v>6</v>
      </c>
      <c r="S70" s="119"/>
      <c r="T70" s="121">
        <f t="shared" si="24"/>
        <v>0</v>
      </c>
      <c r="U70" s="121">
        <f t="shared" si="25"/>
        <v>0</v>
      </c>
      <c r="W70" s="117">
        <v>66</v>
      </c>
      <c r="X70" s="130" t="str">
        <f t="shared" si="54"/>
        <v/>
      </c>
      <c r="Y70" s="131">
        <f t="shared" ref="Y70:Y101" si="60">ROUND(AA69*$Z$2/365*AB70,0)</f>
        <v>0</v>
      </c>
      <c r="Z70" s="131">
        <f t="shared" si="55"/>
        <v>0</v>
      </c>
      <c r="AA70" s="131">
        <f t="shared" ref="AA70:AA124" si="61">AA69-X70</f>
        <v>0</v>
      </c>
      <c r="AB70" s="120">
        <f t="shared" si="26"/>
        <v>30</v>
      </c>
      <c r="AC70" s="120">
        <f t="shared" si="27"/>
        <v>6</v>
      </c>
      <c r="AD70" s="119"/>
      <c r="AE70" s="121">
        <f t="shared" si="28"/>
        <v>0</v>
      </c>
      <c r="AF70" s="121">
        <f t="shared" si="29"/>
        <v>0</v>
      </c>
      <c r="AG70" s="117">
        <f>+AG69+1</f>
        <v>66</v>
      </c>
      <c r="AH70" s="171">
        <f t="shared" ref="AH70:AH124" si="62">+I70+T70+AE70</f>
        <v>47054</v>
      </c>
      <c r="AI70" s="171">
        <f t="shared" ref="AI70:AI124" si="63">+J70+U70+AF70</f>
        <v>495126</v>
      </c>
      <c r="AJ70" s="171">
        <f t="shared" ref="AJ70:AJ124" si="64">+E70+P70+AA70</f>
        <v>4456240</v>
      </c>
    </row>
    <row r="71" spans="1:36">
      <c r="A71" s="117">
        <v>67</v>
      </c>
      <c r="B71" s="130">
        <f t="shared" ref="B71:B124" si="65">IF(A71&gt;=$D$3+1,"",IF(A71&lt;$F$2+1,0,TRUNC($F$3/($D$3-$F$2))*1))</f>
        <v>82521</v>
      </c>
      <c r="C71" s="131">
        <f t="shared" si="56"/>
        <v>7570</v>
      </c>
      <c r="D71" s="131">
        <f t="shared" si="51"/>
        <v>90091</v>
      </c>
      <c r="E71" s="131">
        <f t="shared" si="57"/>
        <v>4373719</v>
      </c>
      <c r="F71" s="120">
        <f t="shared" ref="F71:F124" si="66">IF(G71=2,28,IF(OR(G71=4,G71=6,G71=9,G71=11),30,31))</f>
        <v>31</v>
      </c>
      <c r="G71" s="120">
        <f t="shared" ref="G71:G124" si="67">IF(G70=12,1,G70+1)</f>
        <v>7</v>
      </c>
      <c r="H71" s="119"/>
      <c r="I71" s="121">
        <f t="shared" ref="I71:I124" si="68">IF(G71&lt;&gt;1,I70+C71,C71)</f>
        <v>54624</v>
      </c>
      <c r="J71" s="121">
        <f t="shared" ref="J71:J124" si="69">IF(G71&lt;&gt;1,J70+B71,B71)</f>
        <v>577647</v>
      </c>
      <c r="L71" s="117">
        <v>67</v>
      </c>
      <c r="M71" s="130" t="str">
        <f t="shared" si="52"/>
        <v/>
      </c>
      <c r="N71" s="131">
        <f t="shared" si="58"/>
        <v>0</v>
      </c>
      <c r="O71" s="131">
        <f t="shared" si="53"/>
        <v>0</v>
      </c>
      <c r="P71" s="131">
        <f t="shared" si="59"/>
        <v>0</v>
      </c>
      <c r="Q71" s="120">
        <f t="shared" ref="Q71:Q124" si="70">IF(R71=2,28,IF(OR(R71=4,R71=6,R71=9,R71=11),30,31))</f>
        <v>31</v>
      </c>
      <c r="R71" s="120">
        <f t="shared" ref="R71:R124" si="71">IF(R70=12,1,R70+1)</f>
        <v>7</v>
      </c>
      <c r="S71" s="119"/>
      <c r="T71" s="121">
        <f t="shared" ref="T71:T124" si="72">IF(R71&lt;&gt;1,T70+N71,N71)</f>
        <v>0</v>
      </c>
      <c r="U71" s="121">
        <f t="shared" ref="U71:U124" si="73">IF(R71&lt;&gt;1,U70+M71,M71)</f>
        <v>0</v>
      </c>
      <c r="W71" s="117">
        <v>67</v>
      </c>
      <c r="X71" s="130" t="str">
        <f t="shared" si="54"/>
        <v/>
      </c>
      <c r="Y71" s="131">
        <f t="shared" si="60"/>
        <v>0</v>
      </c>
      <c r="Z71" s="131">
        <f t="shared" si="55"/>
        <v>0</v>
      </c>
      <c r="AA71" s="131">
        <f t="shared" si="61"/>
        <v>0</v>
      </c>
      <c r="AB71" s="120">
        <f t="shared" ref="AB71:AB124" si="74">IF(AC71=2,28,IF(OR(AC71=4,AC71=6,AC71=9,AC71=11),30,31))</f>
        <v>31</v>
      </c>
      <c r="AC71" s="120">
        <f t="shared" ref="AC71:AC124" si="75">IF(AC70=12,1,AC70+1)</f>
        <v>7</v>
      </c>
      <c r="AD71" s="119"/>
      <c r="AE71" s="121">
        <f t="shared" ref="AE71:AE124" si="76">IF(AC71&lt;&gt;1,AE70+Y71,Y71)</f>
        <v>0</v>
      </c>
      <c r="AF71" s="121">
        <f t="shared" ref="AF71:AF124" si="77">IF(AC71&lt;&gt;1,AF70+X71,X71)</f>
        <v>0</v>
      </c>
      <c r="AG71" s="117">
        <f t="shared" ref="AG71:AG73" si="78">+AG70+1</f>
        <v>67</v>
      </c>
      <c r="AH71" s="171">
        <f t="shared" si="62"/>
        <v>54624</v>
      </c>
      <c r="AI71" s="171">
        <f t="shared" si="63"/>
        <v>577647</v>
      </c>
      <c r="AJ71" s="171">
        <f t="shared" si="64"/>
        <v>4373719</v>
      </c>
    </row>
    <row r="72" spans="1:36">
      <c r="A72" s="117">
        <v>68</v>
      </c>
      <c r="B72" s="130">
        <f t="shared" si="65"/>
        <v>82521</v>
      </c>
      <c r="C72" s="131">
        <f t="shared" si="56"/>
        <v>7429</v>
      </c>
      <c r="D72" s="131">
        <f t="shared" si="51"/>
        <v>89950</v>
      </c>
      <c r="E72" s="131">
        <f t="shared" si="57"/>
        <v>4291198</v>
      </c>
      <c r="F72" s="120">
        <f t="shared" si="66"/>
        <v>31</v>
      </c>
      <c r="G72" s="120">
        <f t="shared" si="67"/>
        <v>8</v>
      </c>
      <c r="H72" s="119"/>
      <c r="I72" s="121">
        <f t="shared" si="68"/>
        <v>62053</v>
      </c>
      <c r="J72" s="121">
        <f t="shared" si="69"/>
        <v>660168</v>
      </c>
      <c r="L72" s="117">
        <v>68</v>
      </c>
      <c r="M72" s="130" t="str">
        <f t="shared" si="52"/>
        <v/>
      </c>
      <c r="N72" s="131">
        <f t="shared" si="58"/>
        <v>0</v>
      </c>
      <c r="O72" s="131">
        <f t="shared" si="53"/>
        <v>0</v>
      </c>
      <c r="P72" s="131">
        <f t="shared" si="59"/>
        <v>0</v>
      </c>
      <c r="Q72" s="120">
        <f t="shared" si="70"/>
        <v>31</v>
      </c>
      <c r="R72" s="120">
        <f t="shared" si="71"/>
        <v>8</v>
      </c>
      <c r="S72" s="119"/>
      <c r="T72" s="121">
        <f t="shared" si="72"/>
        <v>0</v>
      </c>
      <c r="U72" s="121">
        <f t="shared" si="73"/>
        <v>0</v>
      </c>
      <c r="W72" s="117">
        <v>68</v>
      </c>
      <c r="X72" s="130" t="str">
        <f t="shared" si="54"/>
        <v/>
      </c>
      <c r="Y72" s="131">
        <f t="shared" si="60"/>
        <v>0</v>
      </c>
      <c r="Z72" s="131">
        <f t="shared" si="55"/>
        <v>0</v>
      </c>
      <c r="AA72" s="131">
        <f t="shared" si="61"/>
        <v>0</v>
      </c>
      <c r="AB72" s="120">
        <f t="shared" si="74"/>
        <v>31</v>
      </c>
      <c r="AC72" s="120">
        <f t="shared" si="75"/>
        <v>8</v>
      </c>
      <c r="AD72" s="119"/>
      <c r="AE72" s="121">
        <f t="shared" si="76"/>
        <v>0</v>
      </c>
      <c r="AF72" s="121">
        <f t="shared" si="77"/>
        <v>0</v>
      </c>
      <c r="AG72" s="117">
        <f t="shared" si="78"/>
        <v>68</v>
      </c>
      <c r="AH72" s="171">
        <f t="shared" si="62"/>
        <v>62053</v>
      </c>
      <c r="AI72" s="171">
        <f t="shared" si="63"/>
        <v>660168</v>
      </c>
      <c r="AJ72" s="171">
        <f t="shared" si="64"/>
        <v>4291198</v>
      </c>
    </row>
    <row r="73" spans="1:36">
      <c r="A73" s="117">
        <v>69</v>
      </c>
      <c r="B73" s="130">
        <f t="shared" si="65"/>
        <v>82521</v>
      </c>
      <c r="C73" s="131">
        <f t="shared" si="56"/>
        <v>7054</v>
      </c>
      <c r="D73" s="131">
        <f t="shared" si="51"/>
        <v>89575</v>
      </c>
      <c r="E73" s="131">
        <f t="shared" si="57"/>
        <v>4208677</v>
      </c>
      <c r="F73" s="120">
        <f t="shared" si="66"/>
        <v>30</v>
      </c>
      <c r="G73" s="120">
        <f t="shared" si="67"/>
        <v>9</v>
      </c>
      <c r="H73" s="119"/>
      <c r="I73" s="121">
        <f t="shared" si="68"/>
        <v>69107</v>
      </c>
      <c r="J73" s="121">
        <f t="shared" si="69"/>
        <v>742689</v>
      </c>
      <c r="L73" s="117">
        <v>69</v>
      </c>
      <c r="M73" s="130" t="str">
        <f t="shared" si="52"/>
        <v/>
      </c>
      <c r="N73" s="131">
        <f t="shared" si="58"/>
        <v>0</v>
      </c>
      <c r="O73" s="131">
        <f t="shared" si="53"/>
        <v>0</v>
      </c>
      <c r="P73" s="131">
        <f t="shared" si="59"/>
        <v>0</v>
      </c>
      <c r="Q73" s="120">
        <f t="shared" si="70"/>
        <v>30</v>
      </c>
      <c r="R73" s="120">
        <f t="shared" si="71"/>
        <v>9</v>
      </c>
      <c r="S73" s="119"/>
      <c r="T73" s="121">
        <f t="shared" si="72"/>
        <v>0</v>
      </c>
      <c r="U73" s="121">
        <f t="shared" si="73"/>
        <v>0</v>
      </c>
      <c r="W73" s="117">
        <v>69</v>
      </c>
      <c r="X73" s="130" t="str">
        <f t="shared" si="54"/>
        <v/>
      </c>
      <c r="Y73" s="131">
        <f t="shared" si="60"/>
        <v>0</v>
      </c>
      <c r="Z73" s="131">
        <f t="shared" si="55"/>
        <v>0</v>
      </c>
      <c r="AA73" s="131">
        <f t="shared" si="61"/>
        <v>0</v>
      </c>
      <c r="AB73" s="120">
        <f t="shared" si="74"/>
        <v>30</v>
      </c>
      <c r="AC73" s="120">
        <f t="shared" si="75"/>
        <v>9</v>
      </c>
      <c r="AD73" s="119"/>
      <c r="AE73" s="121">
        <f t="shared" si="76"/>
        <v>0</v>
      </c>
      <c r="AF73" s="121">
        <f t="shared" si="77"/>
        <v>0</v>
      </c>
      <c r="AG73" s="117">
        <f t="shared" si="78"/>
        <v>69</v>
      </c>
      <c r="AH73" s="171">
        <f t="shared" si="62"/>
        <v>69107</v>
      </c>
      <c r="AI73" s="171">
        <f t="shared" si="63"/>
        <v>742689</v>
      </c>
      <c r="AJ73" s="171">
        <f t="shared" si="64"/>
        <v>4208677</v>
      </c>
    </row>
    <row r="74" spans="1:36">
      <c r="A74" s="117">
        <v>70</v>
      </c>
      <c r="B74" s="130">
        <f t="shared" si="65"/>
        <v>82521</v>
      </c>
      <c r="C74" s="131">
        <f t="shared" si="56"/>
        <v>7149</v>
      </c>
      <c r="D74" s="131">
        <f t="shared" si="51"/>
        <v>89670</v>
      </c>
      <c r="E74" s="131">
        <f t="shared" si="57"/>
        <v>4126156</v>
      </c>
      <c r="F74" s="120">
        <f t="shared" si="66"/>
        <v>31</v>
      </c>
      <c r="G74" s="120">
        <f t="shared" si="67"/>
        <v>10</v>
      </c>
      <c r="H74" s="119"/>
      <c r="I74" s="121">
        <f t="shared" si="68"/>
        <v>76256</v>
      </c>
      <c r="J74" s="121">
        <f t="shared" si="69"/>
        <v>825210</v>
      </c>
      <c r="L74" s="117">
        <v>70</v>
      </c>
      <c r="M74" s="130" t="str">
        <f t="shared" si="52"/>
        <v/>
      </c>
      <c r="N74" s="131">
        <f t="shared" si="58"/>
        <v>0</v>
      </c>
      <c r="O74" s="131">
        <f t="shared" si="53"/>
        <v>0</v>
      </c>
      <c r="P74" s="131">
        <f t="shared" si="59"/>
        <v>0</v>
      </c>
      <c r="Q74" s="120">
        <f t="shared" si="70"/>
        <v>31</v>
      </c>
      <c r="R74" s="120">
        <f t="shared" si="71"/>
        <v>10</v>
      </c>
      <c r="S74" s="119"/>
      <c r="T74" s="121">
        <f t="shared" si="72"/>
        <v>0</v>
      </c>
      <c r="U74" s="121">
        <f t="shared" si="73"/>
        <v>0</v>
      </c>
      <c r="W74" s="117">
        <v>70</v>
      </c>
      <c r="X74" s="130" t="str">
        <f t="shared" si="54"/>
        <v/>
      </c>
      <c r="Y74" s="131">
        <f t="shared" si="60"/>
        <v>0</v>
      </c>
      <c r="Z74" s="131">
        <f t="shared" si="55"/>
        <v>0</v>
      </c>
      <c r="AA74" s="131">
        <f t="shared" si="61"/>
        <v>0</v>
      </c>
      <c r="AB74" s="120">
        <f t="shared" si="74"/>
        <v>31</v>
      </c>
      <c r="AC74" s="120">
        <f t="shared" si="75"/>
        <v>10</v>
      </c>
      <c r="AD74" s="119"/>
      <c r="AE74" s="121">
        <f t="shared" si="76"/>
        <v>0</v>
      </c>
      <c r="AF74" s="121">
        <f t="shared" si="77"/>
        <v>0</v>
      </c>
      <c r="AG74" s="117">
        <f>+AG73+1</f>
        <v>70</v>
      </c>
      <c r="AH74" s="171">
        <f t="shared" si="62"/>
        <v>76256</v>
      </c>
      <c r="AI74" s="171">
        <f t="shared" si="63"/>
        <v>825210</v>
      </c>
      <c r="AJ74" s="171">
        <f t="shared" si="64"/>
        <v>4126156</v>
      </c>
    </row>
    <row r="75" spans="1:36">
      <c r="A75" s="117">
        <v>71</v>
      </c>
      <c r="B75" s="130">
        <f t="shared" si="65"/>
        <v>82521</v>
      </c>
      <c r="C75" s="131">
        <f t="shared" si="56"/>
        <v>6783</v>
      </c>
      <c r="D75" s="131">
        <f t="shared" si="51"/>
        <v>89304</v>
      </c>
      <c r="E75" s="131">
        <f t="shared" si="57"/>
        <v>4043635</v>
      </c>
      <c r="F75" s="120">
        <f t="shared" si="66"/>
        <v>30</v>
      </c>
      <c r="G75" s="120">
        <f t="shared" si="67"/>
        <v>11</v>
      </c>
      <c r="H75" s="119"/>
      <c r="I75" s="121">
        <f t="shared" si="68"/>
        <v>83039</v>
      </c>
      <c r="J75" s="121">
        <f t="shared" si="69"/>
        <v>907731</v>
      </c>
      <c r="L75" s="117">
        <v>71</v>
      </c>
      <c r="M75" s="130" t="str">
        <f t="shared" si="52"/>
        <v/>
      </c>
      <c r="N75" s="131">
        <f t="shared" si="58"/>
        <v>0</v>
      </c>
      <c r="O75" s="131">
        <f t="shared" si="53"/>
        <v>0</v>
      </c>
      <c r="P75" s="131">
        <f t="shared" si="59"/>
        <v>0</v>
      </c>
      <c r="Q75" s="120">
        <f t="shared" si="70"/>
        <v>30</v>
      </c>
      <c r="R75" s="120">
        <f t="shared" si="71"/>
        <v>11</v>
      </c>
      <c r="S75" s="119"/>
      <c r="T75" s="121">
        <f t="shared" si="72"/>
        <v>0</v>
      </c>
      <c r="U75" s="121">
        <f t="shared" si="73"/>
        <v>0</v>
      </c>
      <c r="W75" s="117">
        <v>71</v>
      </c>
      <c r="X75" s="130" t="str">
        <f t="shared" si="54"/>
        <v/>
      </c>
      <c r="Y75" s="131">
        <f t="shared" si="60"/>
        <v>0</v>
      </c>
      <c r="Z75" s="131">
        <f t="shared" si="55"/>
        <v>0</v>
      </c>
      <c r="AA75" s="131">
        <f t="shared" si="61"/>
        <v>0</v>
      </c>
      <c r="AB75" s="120">
        <f t="shared" si="74"/>
        <v>30</v>
      </c>
      <c r="AC75" s="120">
        <f t="shared" si="75"/>
        <v>11</v>
      </c>
      <c r="AD75" s="119"/>
      <c r="AE75" s="121">
        <f t="shared" si="76"/>
        <v>0</v>
      </c>
      <c r="AF75" s="121">
        <f t="shared" si="77"/>
        <v>0</v>
      </c>
      <c r="AG75" s="117">
        <f t="shared" ref="AG75:AG80" si="79">+AG74+1</f>
        <v>71</v>
      </c>
      <c r="AH75" s="171">
        <f t="shared" si="62"/>
        <v>83039</v>
      </c>
      <c r="AI75" s="171">
        <f t="shared" si="63"/>
        <v>907731</v>
      </c>
      <c r="AJ75" s="171">
        <f t="shared" si="64"/>
        <v>4043635</v>
      </c>
    </row>
    <row r="76" spans="1:36">
      <c r="A76" s="117">
        <v>72</v>
      </c>
      <c r="B76" s="130">
        <f t="shared" si="65"/>
        <v>82521</v>
      </c>
      <c r="C76" s="131">
        <f t="shared" si="56"/>
        <v>6869</v>
      </c>
      <c r="D76" s="131">
        <f t="shared" si="51"/>
        <v>89390</v>
      </c>
      <c r="E76" s="131">
        <f t="shared" si="57"/>
        <v>3961114</v>
      </c>
      <c r="F76" s="120">
        <f t="shared" si="66"/>
        <v>31</v>
      </c>
      <c r="G76" s="120">
        <f t="shared" si="67"/>
        <v>12</v>
      </c>
      <c r="H76" s="119"/>
      <c r="I76" s="121">
        <f t="shared" si="68"/>
        <v>89908</v>
      </c>
      <c r="J76" s="121">
        <f t="shared" si="69"/>
        <v>990252</v>
      </c>
      <c r="L76" s="117">
        <v>72</v>
      </c>
      <c r="M76" s="130" t="str">
        <f t="shared" si="52"/>
        <v/>
      </c>
      <c r="N76" s="131">
        <f t="shared" si="58"/>
        <v>0</v>
      </c>
      <c r="O76" s="131">
        <f t="shared" si="53"/>
        <v>0</v>
      </c>
      <c r="P76" s="131">
        <f t="shared" si="59"/>
        <v>0</v>
      </c>
      <c r="Q76" s="120">
        <f t="shared" si="70"/>
        <v>31</v>
      </c>
      <c r="R76" s="120">
        <f t="shared" si="71"/>
        <v>12</v>
      </c>
      <c r="S76" s="119"/>
      <c r="T76" s="121">
        <f t="shared" si="72"/>
        <v>0</v>
      </c>
      <c r="U76" s="121">
        <f t="shared" si="73"/>
        <v>0</v>
      </c>
      <c r="W76" s="117">
        <v>72</v>
      </c>
      <c r="X76" s="130" t="str">
        <f t="shared" si="54"/>
        <v/>
      </c>
      <c r="Y76" s="131">
        <f t="shared" si="60"/>
        <v>0</v>
      </c>
      <c r="Z76" s="131">
        <f t="shared" si="55"/>
        <v>0</v>
      </c>
      <c r="AA76" s="131">
        <f t="shared" si="61"/>
        <v>0</v>
      </c>
      <c r="AB76" s="120">
        <f t="shared" si="74"/>
        <v>31</v>
      </c>
      <c r="AC76" s="120">
        <f t="shared" si="75"/>
        <v>12</v>
      </c>
      <c r="AD76" s="119"/>
      <c r="AE76" s="121">
        <f t="shared" si="76"/>
        <v>0</v>
      </c>
      <c r="AF76" s="121">
        <f t="shared" si="77"/>
        <v>0</v>
      </c>
      <c r="AG76" s="117">
        <f t="shared" si="79"/>
        <v>72</v>
      </c>
      <c r="AH76" s="171">
        <f t="shared" si="62"/>
        <v>89908</v>
      </c>
      <c r="AI76" s="171">
        <f t="shared" si="63"/>
        <v>990252</v>
      </c>
      <c r="AJ76" s="171">
        <f t="shared" si="64"/>
        <v>3961114</v>
      </c>
    </row>
    <row r="77" spans="1:36">
      <c r="A77" s="117">
        <v>73</v>
      </c>
      <c r="B77" s="130">
        <f t="shared" si="65"/>
        <v>82521</v>
      </c>
      <c r="C77" s="131">
        <f t="shared" si="56"/>
        <v>6728</v>
      </c>
      <c r="D77" s="131">
        <f t="shared" si="51"/>
        <v>89249</v>
      </c>
      <c r="E77" s="131">
        <f t="shared" si="57"/>
        <v>3878593</v>
      </c>
      <c r="F77" s="120">
        <f t="shared" si="66"/>
        <v>31</v>
      </c>
      <c r="G77" s="120">
        <f t="shared" si="67"/>
        <v>1</v>
      </c>
      <c r="H77" s="119"/>
      <c r="I77" s="121">
        <f t="shared" si="68"/>
        <v>6728</v>
      </c>
      <c r="J77" s="121">
        <f t="shared" si="69"/>
        <v>82521</v>
      </c>
      <c r="L77" s="117">
        <v>73</v>
      </c>
      <c r="M77" s="130" t="str">
        <f t="shared" si="52"/>
        <v/>
      </c>
      <c r="N77" s="131">
        <f t="shared" si="58"/>
        <v>0</v>
      </c>
      <c r="O77" s="131">
        <f t="shared" si="53"/>
        <v>0</v>
      </c>
      <c r="P77" s="131">
        <f t="shared" si="59"/>
        <v>0</v>
      </c>
      <c r="Q77" s="120">
        <f t="shared" si="70"/>
        <v>31</v>
      </c>
      <c r="R77" s="120">
        <f t="shared" si="71"/>
        <v>1</v>
      </c>
      <c r="S77" s="119"/>
      <c r="T77" s="121">
        <f t="shared" si="72"/>
        <v>0</v>
      </c>
      <c r="U77" s="121" t="str">
        <f t="shared" si="73"/>
        <v/>
      </c>
      <c r="W77" s="117">
        <v>73</v>
      </c>
      <c r="X77" s="130" t="str">
        <f t="shared" si="54"/>
        <v/>
      </c>
      <c r="Y77" s="131">
        <f t="shared" si="60"/>
        <v>0</v>
      </c>
      <c r="Z77" s="131">
        <f t="shared" si="55"/>
        <v>0</v>
      </c>
      <c r="AA77" s="131">
        <f t="shared" si="61"/>
        <v>0</v>
      </c>
      <c r="AB77" s="120">
        <f t="shared" si="74"/>
        <v>31</v>
      </c>
      <c r="AC77" s="120">
        <f t="shared" si="75"/>
        <v>1</v>
      </c>
      <c r="AD77" s="119"/>
      <c r="AE77" s="121">
        <f t="shared" si="76"/>
        <v>0</v>
      </c>
      <c r="AF77" s="121" t="str">
        <f t="shared" si="77"/>
        <v/>
      </c>
      <c r="AG77" s="117">
        <f t="shared" si="79"/>
        <v>73</v>
      </c>
      <c r="AH77" s="171">
        <f t="shared" si="62"/>
        <v>6728</v>
      </c>
      <c r="AI77" s="171">
        <f t="shared" si="63"/>
        <v>82521</v>
      </c>
      <c r="AJ77" s="171">
        <f t="shared" si="64"/>
        <v>3878593</v>
      </c>
    </row>
    <row r="78" spans="1:36">
      <c r="A78" s="117">
        <v>74</v>
      </c>
      <c r="B78" s="130">
        <f t="shared" si="65"/>
        <v>82521</v>
      </c>
      <c r="C78" s="131">
        <f t="shared" si="56"/>
        <v>5951</v>
      </c>
      <c r="D78" s="131">
        <f t="shared" si="51"/>
        <v>88472</v>
      </c>
      <c r="E78" s="131">
        <f t="shared" si="57"/>
        <v>3796072</v>
      </c>
      <c r="F78" s="120">
        <f t="shared" si="66"/>
        <v>28</v>
      </c>
      <c r="G78" s="120">
        <f t="shared" si="67"/>
        <v>2</v>
      </c>
      <c r="H78" s="119"/>
      <c r="I78" s="121">
        <f t="shared" si="68"/>
        <v>12679</v>
      </c>
      <c r="J78" s="121">
        <f t="shared" si="69"/>
        <v>165042</v>
      </c>
      <c r="L78" s="117">
        <v>74</v>
      </c>
      <c r="M78" s="130" t="str">
        <f t="shared" si="52"/>
        <v/>
      </c>
      <c r="N78" s="131">
        <f t="shared" si="58"/>
        <v>0</v>
      </c>
      <c r="O78" s="131">
        <f t="shared" si="53"/>
        <v>0</v>
      </c>
      <c r="P78" s="131">
        <f t="shared" si="59"/>
        <v>0</v>
      </c>
      <c r="Q78" s="120">
        <f t="shared" si="70"/>
        <v>28</v>
      </c>
      <c r="R78" s="120">
        <f t="shared" si="71"/>
        <v>2</v>
      </c>
      <c r="S78" s="119"/>
      <c r="T78" s="121">
        <f t="shared" si="72"/>
        <v>0</v>
      </c>
      <c r="U78" s="121">
        <f t="shared" si="73"/>
        <v>0</v>
      </c>
      <c r="W78" s="117">
        <v>74</v>
      </c>
      <c r="X78" s="130" t="str">
        <f t="shared" si="54"/>
        <v/>
      </c>
      <c r="Y78" s="131">
        <f t="shared" si="60"/>
        <v>0</v>
      </c>
      <c r="Z78" s="131">
        <f t="shared" si="55"/>
        <v>0</v>
      </c>
      <c r="AA78" s="131">
        <f t="shared" si="61"/>
        <v>0</v>
      </c>
      <c r="AB78" s="120">
        <f t="shared" si="74"/>
        <v>28</v>
      </c>
      <c r="AC78" s="120">
        <f t="shared" si="75"/>
        <v>2</v>
      </c>
      <c r="AD78" s="119"/>
      <c r="AE78" s="121">
        <f t="shared" si="76"/>
        <v>0</v>
      </c>
      <c r="AF78" s="121">
        <f t="shared" si="77"/>
        <v>0</v>
      </c>
      <c r="AG78" s="117">
        <f t="shared" si="79"/>
        <v>74</v>
      </c>
      <c r="AH78" s="171">
        <f t="shared" si="62"/>
        <v>12679</v>
      </c>
      <c r="AI78" s="171">
        <f t="shared" si="63"/>
        <v>165042</v>
      </c>
      <c r="AJ78" s="171">
        <f t="shared" si="64"/>
        <v>3796072</v>
      </c>
    </row>
    <row r="79" spans="1:36">
      <c r="A79" s="117">
        <v>75</v>
      </c>
      <c r="B79" s="130">
        <f t="shared" si="65"/>
        <v>82521</v>
      </c>
      <c r="C79" s="131">
        <f t="shared" si="56"/>
        <v>6448</v>
      </c>
      <c r="D79" s="131">
        <f t="shared" si="51"/>
        <v>88969</v>
      </c>
      <c r="E79" s="131">
        <f t="shared" si="57"/>
        <v>3713551</v>
      </c>
      <c r="F79" s="120">
        <f t="shared" si="66"/>
        <v>31</v>
      </c>
      <c r="G79" s="120">
        <f t="shared" si="67"/>
        <v>3</v>
      </c>
      <c r="H79" s="119"/>
      <c r="I79" s="121">
        <f t="shared" si="68"/>
        <v>19127</v>
      </c>
      <c r="J79" s="121">
        <f t="shared" si="69"/>
        <v>247563</v>
      </c>
      <c r="L79" s="117">
        <v>75</v>
      </c>
      <c r="M79" s="130" t="str">
        <f t="shared" si="52"/>
        <v/>
      </c>
      <c r="N79" s="131">
        <f t="shared" si="58"/>
        <v>0</v>
      </c>
      <c r="O79" s="131">
        <f t="shared" si="53"/>
        <v>0</v>
      </c>
      <c r="P79" s="131">
        <f t="shared" si="59"/>
        <v>0</v>
      </c>
      <c r="Q79" s="120">
        <f t="shared" si="70"/>
        <v>31</v>
      </c>
      <c r="R79" s="120">
        <f t="shared" si="71"/>
        <v>3</v>
      </c>
      <c r="S79" s="119"/>
      <c r="T79" s="121">
        <f t="shared" si="72"/>
        <v>0</v>
      </c>
      <c r="U79" s="121">
        <f t="shared" si="73"/>
        <v>0</v>
      </c>
      <c r="W79" s="117">
        <v>75</v>
      </c>
      <c r="X79" s="130" t="str">
        <f t="shared" si="54"/>
        <v/>
      </c>
      <c r="Y79" s="131">
        <f t="shared" si="60"/>
        <v>0</v>
      </c>
      <c r="Z79" s="131">
        <f t="shared" si="55"/>
        <v>0</v>
      </c>
      <c r="AA79" s="131">
        <f t="shared" si="61"/>
        <v>0</v>
      </c>
      <c r="AB79" s="120">
        <f t="shared" si="74"/>
        <v>31</v>
      </c>
      <c r="AC79" s="120">
        <f t="shared" si="75"/>
        <v>3</v>
      </c>
      <c r="AD79" s="119"/>
      <c r="AE79" s="121">
        <f t="shared" si="76"/>
        <v>0</v>
      </c>
      <c r="AF79" s="121">
        <f t="shared" si="77"/>
        <v>0</v>
      </c>
      <c r="AG79" s="117">
        <f t="shared" si="79"/>
        <v>75</v>
      </c>
      <c r="AH79" s="171">
        <f t="shared" si="62"/>
        <v>19127</v>
      </c>
      <c r="AI79" s="171">
        <f t="shared" si="63"/>
        <v>247563</v>
      </c>
      <c r="AJ79" s="171">
        <f t="shared" si="64"/>
        <v>3713551</v>
      </c>
    </row>
    <row r="80" spans="1:36">
      <c r="A80" s="117">
        <v>76</v>
      </c>
      <c r="B80" s="130">
        <f t="shared" si="65"/>
        <v>82521</v>
      </c>
      <c r="C80" s="131">
        <f t="shared" si="56"/>
        <v>6104</v>
      </c>
      <c r="D80" s="131">
        <f t="shared" si="51"/>
        <v>88625</v>
      </c>
      <c r="E80" s="131">
        <f t="shared" si="57"/>
        <v>3631030</v>
      </c>
      <c r="F80" s="120">
        <f t="shared" si="66"/>
        <v>30</v>
      </c>
      <c r="G80" s="120">
        <f t="shared" si="67"/>
        <v>4</v>
      </c>
      <c r="H80" s="119"/>
      <c r="I80" s="121">
        <f t="shared" si="68"/>
        <v>25231</v>
      </c>
      <c r="J80" s="121">
        <f t="shared" si="69"/>
        <v>330084</v>
      </c>
      <c r="L80" s="117">
        <v>76</v>
      </c>
      <c r="M80" s="130" t="str">
        <f t="shared" si="52"/>
        <v/>
      </c>
      <c r="N80" s="131">
        <f t="shared" si="58"/>
        <v>0</v>
      </c>
      <c r="O80" s="131">
        <f t="shared" si="53"/>
        <v>0</v>
      </c>
      <c r="P80" s="131">
        <f t="shared" si="59"/>
        <v>0</v>
      </c>
      <c r="Q80" s="120">
        <f t="shared" si="70"/>
        <v>30</v>
      </c>
      <c r="R80" s="120">
        <f t="shared" si="71"/>
        <v>4</v>
      </c>
      <c r="S80" s="119"/>
      <c r="T80" s="121">
        <f t="shared" si="72"/>
        <v>0</v>
      </c>
      <c r="U80" s="121">
        <f t="shared" si="73"/>
        <v>0</v>
      </c>
      <c r="W80" s="117">
        <v>76</v>
      </c>
      <c r="X80" s="130" t="str">
        <f t="shared" si="54"/>
        <v/>
      </c>
      <c r="Y80" s="131">
        <f t="shared" si="60"/>
        <v>0</v>
      </c>
      <c r="Z80" s="131">
        <f t="shared" si="55"/>
        <v>0</v>
      </c>
      <c r="AA80" s="131">
        <f t="shared" si="61"/>
        <v>0</v>
      </c>
      <c r="AB80" s="120">
        <f t="shared" si="74"/>
        <v>30</v>
      </c>
      <c r="AC80" s="120">
        <f t="shared" si="75"/>
        <v>4</v>
      </c>
      <c r="AD80" s="119"/>
      <c r="AE80" s="121">
        <f t="shared" si="76"/>
        <v>0</v>
      </c>
      <c r="AF80" s="121">
        <f t="shared" si="77"/>
        <v>0</v>
      </c>
      <c r="AG80" s="117">
        <f t="shared" si="79"/>
        <v>76</v>
      </c>
      <c r="AH80" s="171">
        <f t="shared" si="62"/>
        <v>25231</v>
      </c>
      <c r="AI80" s="171">
        <f t="shared" si="63"/>
        <v>330084</v>
      </c>
      <c r="AJ80" s="171">
        <f t="shared" si="64"/>
        <v>3631030</v>
      </c>
    </row>
    <row r="81" spans="1:36">
      <c r="A81" s="117">
        <v>77</v>
      </c>
      <c r="B81" s="130">
        <f t="shared" si="65"/>
        <v>82521</v>
      </c>
      <c r="C81" s="131">
        <f t="shared" si="56"/>
        <v>6168</v>
      </c>
      <c r="D81" s="131">
        <f t="shared" si="51"/>
        <v>88689</v>
      </c>
      <c r="E81" s="131">
        <f t="shared" si="57"/>
        <v>3548509</v>
      </c>
      <c r="F81" s="120">
        <f t="shared" si="66"/>
        <v>31</v>
      </c>
      <c r="G81" s="120">
        <f t="shared" si="67"/>
        <v>5</v>
      </c>
      <c r="H81" s="119"/>
      <c r="I81" s="121">
        <f t="shared" si="68"/>
        <v>31399</v>
      </c>
      <c r="J81" s="121">
        <f t="shared" si="69"/>
        <v>412605</v>
      </c>
      <c r="L81" s="117">
        <v>77</v>
      </c>
      <c r="M81" s="130" t="str">
        <f t="shared" si="52"/>
        <v/>
      </c>
      <c r="N81" s="131">
        <f t="shared" si="58"/>
        <v>0</v>
      </c>
      <c r="O81" s="131">
        <f t="shared" si="53"/>
        <v>0</v>
      </c>
      <c r="P81" s="131">
        <f t="shared" si="59"/>
        <v>0</v>
      </c>
      <c r="Q81" s="120">
        <f t="shared" si="70"/>
        <v>31</v>
      </c>
      <c r="R81" s="120">
        <f t="shared" si="71"/>
        <v>5</v>
      </c>
      <c r="S81" s="119"/>
      <c r="T81" s="121">
        <f t="shared" si="72"/>
        <v>0</v>
      </c>
      <c r="U81" s="121">
        <f t="shared" si="73"/>
        <v>0</v>
      </c>
      <c r="W81" s="117">
        <v>77</v>
      </c>
      <c r="X81" s="130" t="str">
        <f t="shared" si="54"/>
        <v/>
      </c>
      <c r="Y81" s="131">
        <f t="shared" si="60"/>
        <v>0</v>
      </c>
      <c r="Z81" s="131">
        <f t="shared" si="55"/>
        <v>0</v>
      </c>
      <c r="AA81" s="131">
        <f t="shared" si="61"/>
        <v>0</v>
      </c>
      <c r="AB81" s="120">
        <f t="shared" si="74"/>
        <v>31</v>
      </c>
      <c r="AC81" s="120">
        <f t="shared" si="75"/>
        <v>5</v>
      </c>
      <c r="AD81" s="119"/>
      <c r="AE81" s="121">
        <f t="shared" si="76"/>
        <v>0</v>
      </c>
      <c r="AF81" s="121">
        <f t="shared" si="77"/>
        <v>0</v>
      </c>
      <c r="AG81" s="117">
        <f>+AG80+1</f>
        <v>77</v>
      </c>
      <c r="AH81" s="171">
        <f t="shared" si="62"/>
        <v>31399</v>
      </c>
      <c r="AI81" s="171">
        <f t="shared" si="63"/>
        <v>412605</v>
      </c>
      <c r="AJ81" s="171">
        <f t="shared" si="64"/>
        <v>3548509</v>
      </c>
    </row>
    <row r="82" spans="1:36">
      <c r="A82" s="117">
        <v>78</v>
      </c>
      <c r="B82" s="130">
        <f t="shared" si="65"/>
        <v>82521</v>
      </c>
      <c r="C82" s="131">
        <f t="shared" si="56"/>
        <v>5833</v>
      </c>
      <c r="D82" s="131">
        <f t="shared" si="51"/>
        <v>88354</v>
      </c>
      <c r="E82" s="131">
        <f t="shared" si="57"/>
        <v>3465988</v>
      </c>
      <c r="F82" s="120">
        <f t="shared" si="66"/>
        <v>30</v>
      </c>
      <c r="G82" s="120">
        <f t="shared" si="67"/>
        <v>6</v>
      </c>
      <c r="H82" s="119"/>
      <c r="I82" s="121">
        <f t="shared" si="68"/>
        <v>37232</v>
      </c>
      <c r="J82" s="121">
        <f t="shared" si="69"/>
        <v>495126</v>
      </c>
      <c r="L82" s="117">
        <v>78</v>
      </c>
      <c r="M82" s="130" t="str">
        <f t="shared" si="52"/>
        <v/>
      </c>
      <c r="N82" s="131">
        <f t="shared" si="58"/>
        <v>0</v>
      </c>
      <c r="O82" s="131">
        <f t="shared" si="53"/>
        <v>0</v>
      </c>
      <c r="P82" s="131">
        <f t="shared" si="59"/>
        <v>0</v>
      </c>
      <c r="Q82" s="120">
        <f t="shared" si="70"/>
        <v>30</v>
      </c>
      <c r="R82" s="120">
        <f t="shared" si="71"/>
        <v>6</v>
      </c>
      <c r="S82" s="119"/>
      <c r="T82" s="121">
        <f t="shared" si="72"/>
        <v>0</v>
      </c>
      <c r="U82" s="121">
        <f t="shared" si="73"/>
        <v>0</v>
      </c>
      <c r="W82" s="117">
        <v>78</v>
      </c>
      <c r="X82" s="130" t="str">
        <f t="shared" si="54"/>
        <v/>
      </c>
      <c r="Y82" s="131">
        <f t="shared" si="60"/>
        <v>0</v>
      </c>
      <c r="Z82" s="131">
        <f t="shared" si="55"/>
        <v>0</v>
      </c>
      <c r="AA82" s="131">
        <f t="shared" si="61"/>
        <v>0</v>
      </c>
      <c r="AB82" s="120">
        <f t="shared" si="74"/>
        <v>30</v>
      </c>
      <c r="AC82" s="120">
        <f t="shared" si="75"/>
        <v>6</v>
      </c>
      <c r="AD82" s="119"/>
      <c r="AE82" s="121">
        <f t="shared" si="76"/>
        <v>0</v>
      </c>
      <c r="AF82" s="121">
        <f t="shared" si="77"/>
        <v>0</v>
      </c>
      <c r="AG82" s="117">
        <f>+AG81+1</f>
        <v>78</v>
      </c>
      <c r="AH82" s="171">
        <f t="shared" si="62"/>
        <v>37232</v>
      </c>
      <c r="AI82" s="171">
        <f t="shared" si="63"/>
        <v>495126</v>
      </c>
      <c r="AJ82" s="171">
        <f t="shared" si="64"/>
        <v>3465988</v>
      </c>
    </row>
    <row r="83" spans="1:36">
      <c r="A83" s="117">
        <v>79</v>
      </c>
      <c r="B83" s="130">
        <f t="shared" si="65"/>
        <v>82521</v>
      </c>
      <c r="C83" s="131">
        <f t="shared" si="56"/>
        <v>5887</v>
      </c>
      <c r="D83" s="131">
        <f t="shared" si="51"/>
        <v>88408</v>
      </c>
      <c r="E83" s="131">
        <f t="shared" si="57"/>
        <v>3383467</v>
      </c>
      <c r="F83" s="120">
        <f t="shared" si="66"/>
        <v>31</v>
      </c>
      <c r="G83" s="120">
        <f t="shared" si="67"/>
        <v>7</v>
      </c>
      <c r="H83" s="119"/>
      <c r="I83" s="121">
        <f t="shared" si="68"/>
        <v>43119</v>
      </c>
      <c r="J83" s="121">
        <f t="shared" si="69"/>
        <v>577647</v>
      </c>
      <c r="L83" s="117">
        <v>79</v>
      </c>
      <c r="M83" s="130" t="str">
        <f t="shared" si="52"/>
        <v/>
      </c>
      <c r="N83" s="131">
        <f t="shared" si="58"/>
        <v>0</v>
      </c>
      <c r="O83" s="131">
        <f t="shared" si="53"/>
        <v>0</v>
      </c>
      <c r="P83" s="131">
        <f t="shared" si="59"/>
        <v>0</v>
      </c>
      <c r="Q83" s="120">
        <f t="shared" si="70"/>
        <v>31</v>
      </c>
      <c r="R83" s="120">
        <f t="shared" si="71"/>
        <v>7</v>
      </c>
      <c r="S83" s="119"/>
      <c r="T83" s="121">
        <f t="shared" si="72"/>
        <v>0</v>
      </c>
      <c r="U83" s="121">
        <f t="shared" si="73"/>
        <v>0</v>
      </c>
      <c r="W83" s="117">
        <v>79</v>
      </c>
      <c r="X83" s="130" t="str">
        <f t="shared" si="54"/>
        <v/>
      </c>
      <c r="Y83" s="131">
        <f t="shared" si="60"/>
        <v>0</v>
      </c>
      <c r="Z83" s="131">
        <f t="shared" si="55"/>
        <v>0</v>
      </c>
      <c r="AA83" s="131">
        <f t="shared" si="61"/>
        <v>0</v>
      </c>
      <c r="AB83" s="120">
        <f t="shared" si="74"/>
        <v>31</v>
      </c>
      <c r="AC83" s="120">
        <f t="shared" si="75"/>
        <v>7</v>
      </c>
      <c r="AD83" s="119"/>
      <c r="AE83" s="121">
        <f t="shared" si="76"/>
        <v>0</v>
      </c>
      <c r="AF83" s="121">
        <f t="shared" si="77"/>
        <v>0</v>
      </c>
      <c r="AG83" s="117">
        <f t="shared" ref="AG83:AG124" si="80">+AG82+1</f>
        <v>79</v>
      </c>
      <c r="AH83" s="171">
        <f t="shared" si="62"/>
        <v>43119</v>
      </c>
      <c r="AI83" s="171">
        <f t="shared" si="63"/>
        <v>577647</v>
      </c>
      <c r="AJ83" s="171">
        <f t="shared" si="64"/>
        <v>3383467</v>
      </c>
    </row>
    <row r="84" spans="1:36">
      <c r="A84" s="117">
        <v>80</v>
      </c>
      <c r="B84" s="130">
        <f t="shared" si="65"/>
        <v>82521</v>
      </c>
      <c r="C84" s="131">
        <f t="shared" si="56"/>
        <v>5747</v>
      </c>
      <c r="D84" s="131">
        <f t="shared" si="51"/>
        <v>88268</v>
      </c>
      <c r="E84" s="131">
        <f t="shared" si="57"/>
        <v>3300946</v>
      </c>
      <c r="F84" s="120">
        <f t="shared" si="66"/>
        <v>31</v>
      </c>
      <c r="G84" s="120">
        <f t="shared" si="67"/>
        <v>8</v>
      </c>
      <c r="H84" s="119"/>
      <c r="I84" s="121">
        <f t="shared" si="68"/>
        <v>48866</v>
      </c>
      <c r="J84" s="121">
        <f t="shared" si="69"/>
        <v>660168</v>
      </c>
      <c r="L84" s="117">
        <v>80</v>
      </c>
      <c r="M84" s="130" t="str">
        <f t="shared" si="52"/>
        <v/>
      </c>
      <c r="N84" s="131">
        <f t="shared" si="58"/>
        <v>0</v>
      </c>
      <c r="O84" s="131">
        <f t="shared" si="53"/>
        <v>0</v>
      </c>
      <c r="P84" s="131">
        <f t="shared" si="59"/>
        <v>0</v>
      </c>
      <c r="Q84" s="120">
        <f t="shared" si="70"/>
        <v>31</v>
      </c>
      <c r="R84" s="120">
        <f t="shared" si="71"/>
        <v>8</v>
      </c>
      <c r="S84" s="119"/>
      <c r="T84" s="121">
        <f t="shared" si="72"/>
        <v>0</v>
      </c>
      <c r="U84" s="121">
        <f t="shared" si="73"/>
        <v>0</v>
      </c>
      <c r="W84" s="117">
        <v>80</v>
      </c>
      <c r="X84" s="130" t="str">
        <f t="shared" si="54"/>
        <v/>
      </c>
      <c r="Y84" s="131">
        <f t="shared" si="60"/>
        <v>0</v>
      </c>
      <c r="Z84" s="131">
        <f t="shared" si="55"/>
        <v>0</v>
      </c>
      <c r="AA84" s="131">
        <f t="shared" si="61"/>
        <v>0</v>
      </c>
      <c r="AB84" s="120">
        <f t="shared" si="74"/>
        <v>31</v>
      </c>
      <c r="AC84" s="120">
        <f t="shared" si="75"/>
        <v>8</v>
      </c>
      <c r="AD84" s="119"/>
      <c r="AE84" s="121">
        <f t="shared" si="76"/>
        <v>0</v>
      </c>
      <c r="AF84" s="121">
        <f t="shared" si="77"/>
        <v>0</v>
      </c>
      <c r="AG84" s="117">
        <f t="shared" si="80"/>
        <v>80</v>
      </c>
      <c r="AH84" s="171">
        <f t="shared" si="62"/>
        <v>48866</v>
      </c>
      <c r="AI84" s="171">
        <f t="shared" si="63"/>
        <v>660168</v>
      </c>
      <c r="AJ84" s="171">
        <f t="shared" si="64"/>
        <v>3300946</v>
      </c>
    </row>
    <row r="85" spans="1:36">
      <c r="A85" s="117">
        <v>81</v>
      </c>
      <c r="B85" s="130">
        <f t="shared" si="65"/>
        <v>82521</v>
      </c>
      <c r="C85" s="131">
        <f t="shared" si="56"/>
        <v>5426</v>
      </c>
      <c r="D85" s="131">
        <f t="shared" si="51"/>
        <v>87947</v>
      </c>
      <c r="E85" s="131">
        <f t="shared" si="57"/>
        <v>3218425</v>
      </c>
      <c r="F85" s="120">
        <f t="shared" si="66"/>
        <v>30</v>
      </c>
      <c r="G85" s="120">
        <f t="shared" si="67"/>
        <v>9</v>
      </c>
      <c r="H85" s="119"/>
      <c r="I85" s="121">
        <f t="shared" si="68"/>
        <v>54292</v>
      </c>
      <c r="J85" s="121">
        <f t="shared" si="69"/>
        <v>742689</v>
      </c>
      <c r="L85" s="117">
        <v>81</v>
      </c>
      <c r="M85" s="130" t="str">
        <f t="shared" si="52"/>
        <v/>
      </c>
      <c r="N85" s="131">
        <f t="shared" si="58"/>
        <v>0</v>
      </c>
      <c r="O85" s="131">
        <f t="shared" si="53"/>
        <v>0</v>
      </c>
      <c r="P85" s="131">
        <f t="shared" si="59"/>
        <v>0</v>
      </c>
      <c r="Q85" s="120">
        <f t="shared" si="70"/>
        <v>30</v>
      </c>
      <c r="R85" s="120">
        <f t="shared" si="71"/>
        <v>9</v>
      </c>
      <c r="S85" s="119"/>
      <c r="T85" s="121">
        <f t="shared" si="72"/>
        <v>0</v>
      </c>
      <c r="U85" s="121">
        <f t="shared" si="73"/>
        <v>0</v>
      </c>
      <c r="W85" s="117">
        <v>81</v>
      </c>
      <c r="X85" s="130" t="str">
        <f t="shared" si="54"/>
        <v/>
      </c>
      <c r="Y85" s="131">
        <f t="shared" si="60"/>
        <v>0</v>
      </c>
      <c r="Z85" s="131">
        <f t="shared" si="55"/>
        <v>0</v>
      </c>
      <c r="AA85" s="131">
        <f t="shared" si="61"/>
        <v>0</v>
      </c>
      <c r="AB85" s="120">
        <f t="shared" si="74"/>
        <v>30</v>
      </c>
      <c r="AC85" s="120">
        <f t="shared" si="75"/>
        <v>9</v>
      </c>
      <c r="AD85" s="119"/>
      <c r="AE85" s="121">
        <f t="shared" si="76"/>
        <v>0</v>
      </c>
      <c r="AF85" s="121">
        <f t="shared" si="77"/>
        <v>0</v>
      </c>
      <c r="AG85" s="117">
        <f t="shared" si="80"/>
        <v>81</v>
      </c>
      <c r="AH85" s="171">
        <f t="shared" si="62"/>
        <v>54292</v>
      </c>
      <c r="AI85" s="171">
        <f t="shared" si="63"/>
        <v>742689</v>
      </c>
      <c r="AJ85" s="171">
        <f t="shared" si="64"/>
        <v>3218425</v>
      </c>
    </row>
    <row r="86" spans="1:36">
      <c r="A86" s="117">
        <v>82</v>
      </c>
      <c r="B86" s="130">
        <f t="shared" si="65"/>
        <v>82521</v>
      </c>
      <c r="C86" s="131">
        <f t="shared" si="56"/>
        <v>5467</v>
      </c>
      <c r="D86" s="131">
        <f t="shared" si="51"/>
        <v>87988</v>
      </c>
      <c r="E86" s="131">
        <f t="shared" si="57"/>
        <v>3135904</v>
      </c>
      <c r="F86" s="120">
        <f t="shared" si="66"/>
        <v>31</v>
      </c>
      <c r="G86" s="120">
        <f t="shared" si="67"/>
        <v>10</v>
      </c>
      <c r="H86" s="119"/>
      <c r="I86" s="121">
        <f t="shared" si="68"/>
        <v>59759</v>
      </c>
      <c r="J86" s="121">
        <f t="shared" si="69"/>
        <v>825210</v>
      </c>
      <c r="L86" s="117">
        <v>82</v>
      </c>
      <c r="M86" s="130" t="str">
        <f t="shared" si="52"/>
        <v/>
      </c>
      <c r="N86" s="131">
        <f t="shared" si="58"/>
        <v>0</v>
      </c>
      <c r="O86" s="131">
        <f t="shared" si="53"/>
        <v>0</v>
      </c>
      <c r="P86" s="131">
        <f t="shared" si="59"/>
        <v>0</v>
      </c>
      <c r="Q86" s="120">
        <f t="shared" si="70"/>
        <v>31</v>
      </c>
      <c r="R86" s="120">
        <f t="shared" si="71"/>
        <v>10</v>
      </c>
      <c r="S86" s="119"/>
      <c r="T86" s="121">
        <f t="shared" si="72"/>
        <v>0</v>
      </c>
      <c r="U86" s="121">
        <f t="shared" si="73"/>
        <v>0</v>
      </c>
      <c r="W86" s="117">
        <v>82</v>
      </c>
      <c r="X86" s="130" t="str">
        <f t="shared" si="54"/>
        <v/>
      </c>
      <c r="Y86" s="131">
        <f t="shared" si="60"/>
        <v>0</v>
      </c>
      <c r="Z86" s="131">
        <f t="shared" si="55"/>
        <v>0</v>
      </c>
      <c r="AA86" s="131">
        <f t="shared" si="61"/>
        <v>0</v>
      </c>
      <c r="AB86" s="120">
        <f t="shared" si="74"/>
        <v>31</v>
      </c>
      <c r="AC86" s="120">
        <f t="shared" si="75"/>
        <v>10</v>
      </c>
      <c r="AD86" s="119"/>
      <c r="AE86" s="121">
        <f t="shared" si="76"/>
        <v>0</v>
      </c>
      <c r="AF86" s="121">
        <f t="shared" si="77"/>
        <v>0</v>
      </c>
      <c r="AG86" s="117">
        <f t="shared" si="80"/>
        <v>82</v>
      </c>
      <c r="AH86" s="171">
        <f t="shared" si="62"/>
        <v>59759</v>
      </c>
      <c r="AI86" s="171">
        <f t="shared" si="63"/>
        <v>825210</v>
      </c>
      <c r="AJ86" s="171">
        <f t="shared" si="64"/>
        <v>3135904</v>
      </c>
    </row>
    <row r="87" spans="1:36">
      <c r="A87" s="117">
        <v>83</v>
      </c>
      <c r="B87" s="130">
        <f t="shared" si="65"/>
        <v>82521</v>
      </c>
      <c r="C87" s="131">
        <f t="shared" si="56"/>
        <v>5155</v>
      </c>
      <c r="D87" s="131">
        <f t="shared" si="51"/>
        <v>87676</v>
      </c>
      <c r="E87" s="131">
        <f t="shared" si="57"/>
        <v>3053383</v>
      </c>
      <c r="F87" s="120">
        <f t="shared" si="66"/>
        <v>30</v>
      </c>
      <c r="G87" s="120">
        <f t="shared" si="67"/>
        <v>11</v>
      </c>
      <c r="H87" s="119"/>
      <c r="I87" s="121">
        <f t="shared" si="68"/>
        <v>64914</v>
      </c>
      <c r="J87" s="121">
        <f t="shared" si="69"/>
        <v>907731</v>
      </c>
      <c r="L87" s="117">
        <v>83</v>
      </c>
      <c r="M87" s="130" t="str">
        <f t="shared" si="52"/>
        <v/>
      </c>
      <c r="N87" s="131">
        <f t="shared" si="58"/>
        <v>0</v>
      </c>
      <c r="O87" s="131">
        <f t="shared" si="53"/>
        <v>0</v>
      </c>
      <c r="P87" s="131">
        <f t="shared" si="59"/>
        <v>0</v>
      </c>
      <c r="Q87" s="120">
        <f t="shared" si="70"/>
        <v>30</v>
      </c>
      <c r="R87" s="120">
        <f t="shared" si="71"/>
        <v>11</v>
      </c>
      <c r="S87" s="119"/>
      <c r="T87" s="121">
        <f t="shared" si="72"/>
        <v>0</v>
      </c>
      <c r="U87" s="121">
        <f t="shared" si="73"/>
        <v>0</v>
      </c>
      <c r="W87" s="117">
        <v>83</v>
      </c>
      <c r="X87" s="130" t="str">
        <f t="shared" si="54"/>
        <v/>
      </c>
      <c r="Y87" s="131">
        <f t="shared" si="60"/>
        <v>0</v>
      </c>
      <c r="Z87" s="131">
        <f t="shared" si="55"/>
        <v>0</v>
      </c>
      <c r="AA87" s="131">
        <f t="shared" si="61"/>
        <v>0</v>
      </c>
      <c r="AB87" s="120">
        <f t="shared" si="74"/>
        <v>30</v>
      </c>
      <c r="AC87" s="120">
        <f t="shared" si="75"/>
        <v>11</v>
      </c>
      <c r="AD87" s="119"/>
      <c r="AE87" s="121">
        <f t="shared" si="76"/>
        <v>0</v>
      </c>
      <c r="AF87" s="121">
        <f t="shared" si="77"/>
        <v>0</v>
      </c>
      <c r="AG87" s="117">
        <f t="shared" si="80"/>
        <v>83</v>
      </c>
      <c r="AH87" s="171">
        <f t="shared" si="62"/>
        <v>64914</v>
      </c>
      <c r="AI87" s="171">
        <f t="shared" si="63"/>
        <v>907731</v>
      </c>
      <c r="AJ87" s="171">
        <f t="shared" si="64"/>
        <v>3053383</v>
      </c>
    </row>
    <row r="88" spans="1:36">
      <c r="A88" s="117">
        <v>84</v>
      </c>
      <c r="B88" s="130">
        <f t="shared" si="65"/>
        <v>82521</v>
      </c>
      <c r="C88" s="131">
        <f t="shared" si="56"/>
        <v>5187</v>
      </c>
      <c r="D88" s="131">
        <f t="shared" si="51"/>
        <v>87708</v>
      </c>
      <c r="E88" s="131">
        <f t="shared" si="57"/>
        <v>2970862</v>
      </c>
      <c r="F88" s="120">
        <f t="shared" si="66"/>
        <v>31</v>
      </c>
      <c r="G88" s="120">
        <f t="shared" si="67"/>
        <v>12</v>
      </c>
      <c r="H88" s="119"/>
      <c r="I88" s="121">
        <f t="shared" si="68"/>
        <v>70101</v>
      </c>
      <c r="J88" s="121">
        <f t="shared" si="69"/>
        <v>990252</v>
      </c>
      <c r="L88" s="117">
        <v>84</v>
      </c>
      <c r="M88" s="130" t="str">
        <f t="shared" si="52"/>
        <v/>
      </c>
      <c r="N88" s="131">
        <f t="shared" si="58"/>
        <v>0</v>
      </c>
      <c r="O88" s="131">
        <f t="shared" si="53"/>
        <v>0</v>
      </c>
      <c r="P88" s="131">
        <f t="shared" si="59"/>
        <v>0</v>
      </c>
      <c r="Q88" s="120">
        <f t="shared" si="70"/>
        <v>31</v>
      </c>
      <c r="R88" s="120">
        <f t="shared" si="71"/>
        <v>12</v>
      </c>
      <c r="S88" s="119"/>
      <c r="T88" s="121">
        <f t="shared" si="72"/>
        <v>0</v>
      </c>
      <c r="U88" s="121">
        <f t="shared" si="73"/>
        <v>0</v>
      </c>
      <c r="W88" s="117">
        <v>84</v>
      </c>
      <c r="X88" s="130" t="str">
        <f t="shared" si="54"/>
        <v/>
      </c>
      <c r="Y88" s="131">
        <f t="shared" si="60"/>
        <v>0</v>
      </c>
      <c r="Z88" s="131">
        <f t="shared" si="55"/>
        <v>0</v>
      </c>
      <c r="AA88" s="131">
        <f t="shared" si="61"/>
        <v>0</v>
      </c>
      <c r="AB88" s="120">
        <f t="shared" si="74"/>
        <v>31</v>
      </c>
      <c r="AC88" s="120">
        <f t="shared" si="75"/>
        <v>12</v>
      </c>
      <c r="AD88" s="119"/>
      <c r="AE88" s="121">
        <f t="shared" si="76"/>
        <v>0</v>
      </c>
      <c r="AF88" s="121">
        <f t="shared" si="77"/>
        <v>0</v>
      </c>
      <c r="AG88" s="117">
        <f t="shared" si="80"/>
        <v>84</v>
      </c>
      <c r="AH88" s="171">
        <f t="shared" si="62"/>
        <v>70101</v>
      </c>
      <c r="AI88" s="171">
        <f t="shared" si="63"/>
        <v>990252</v>
      </c>
      <c r="AJ88" s="171">
        <f t="shared" si="64"/>
        <v>2970862</v>
      </c>
    </row>
    <row r="89" spans="1:36">
      <c r="A89" s="117">
        <v>85</v>
      </c>
      <c r="B89" s="130">
        <f t="shared" si="65"/>
        <v>82521</v>
      </c>
      <c r="C89" s="131">
        <f t="shared" si="56"/>
        <v>5046</v>
      </c>
      <c r="D89" s="131">
        <f t="shared" si="51"/>
        <v>87567</v>
      </c>
      <c r="E89" s="131">
        <f t="shared" si="57"/>
        <v>2888341</v>
      </c>
      <c r="F89" s="120">
        <f t="shared" si="66"/>
        <v>31</v>
      </c>
      <c r="G89" s="120">
        <f t="shared" si="67"/>
        <v>1</v>
      </c>
      <c r="H89" s="119"/>
      <c r="I89" s="121">
        <f t="shared" si="68"/>
        <v>5046</v>
      </c>
      <c r="J89" s="121">
        <f t="shared" si="69"/>
        <v>82521</v>
      </c>
      <c r="L89" s="117">
        <v>85</v>
      </c>
      <c r="M89" s="130" t="str">
        <f t="shared" si="52"/>
        <v/>
      </c>
      <c r="N89" s="131">
        <f t="shared" si="58"/>
        <v>0</v>
      </c>
      <c r="O89" s="131">
        <f t="shared" si="53"/>
        <v>0</v>
      </c>
      <c r="P89" s="131">
        <f t="shared" si="59"/>
        <v>0</v>
      </c>
      <c r="Q89" s="120">
        <f t="shared" si="70"/>
        <v>31</v>
      </c>
      <c r="R89" s="120">
        <f t="shared" si="71"/>
        <v>1</v>
      </c>
      <c r="S89" s="119"/>
      <c r="T89" s="121">
        <f t="shared" si="72"/>
        <v>0</v>
      </c>
      <c r="U89" s="121" t="str">
        <f t="shared" si="73"/>
        <v/>
      </c>
      <c r="W89" s="117">
        <v>85</v>
      </c>
      <c r="X89" s="130" t="str">
        <f t="shared" si="54"/>
        <v/>
      </c>
      <c r="Y89" s="131">
        <f t="shared" si="60"/>
        <v>0</v>
      </c>
      <c r="Z89" s="131">
        <f t="shared" si="55"/>
        <v>0</v>
      </c>
      <c r="AA89" s="131">
        <f t="shared" si="61"/>
        <v>0</v>
      </c>
      <c r="AB89" s="120">
        <f t="shared" si="74"/>
        <v>31</v>
      </c>
      <c r="AC89" s="120">
        <f t="shared" si="75"/>
        <v>1</v>
      </c>
      <c r="AD89" s="119"/>
      <c r="AE89" s="121">
        <f t="shared" si="76"/>
        <v>0</v>
      </c>
      <c r="AF89" s="121" t="str">
        <f t="shared" si="77"/>
        <v/>
      </c>
      <c r="AG89" s="117">
        <f t="shared" si="80"/>
        <v>85</v>
      </c>
      <c r="AH89" s="171">
        <f t="shared" si="62"/>
        <v>5046</v>
      </c>
      <c r="AI89" s="171">
        <f t="shared" si="63"/>
        <v>82521</v>
      </c>
      <c r="AJ89" s="171">
        <f t="shared" si="64"/>
        <v>2888341</v>
      </c>
    </row>
    <row r="90" spans="1:36">
      <c r="A90" s="117">
        <v>86</v>
      </c>
      <c r="B90" s="130">
        <f t="shared" si="65"/>
        <v>82521</v>
      </c>
      <c r="C90" s="131">
        <f t="shared" si="56"/>
        <v>4431</v>
      </c>
      <c r="D90" s="131">
        <f t="shared" si="51"/>
        <v>86952</v>
      </c>
      <c r="E90" s="131">
        <f t="shared" si="57"/>
        <v>2805820</v>
      </c>
      <c r="F90" s="120">
        <f t="shared" si="66"/>
        <v>28</v>
      </c>
      <c r="G90" s="120">
        <f t="shared" si="67"/>
        <v>2</v>
      </c>
      <c r="H90" s="119"/>
      <c r="I90" s="121">
        <f t="shared" si="68"/>
        <v>9477</v>
      </c>
      <c r="J90" s="121">
        <f t="shared" si="69"/>
        <v>165042</v>
      </c>
      <c r="L90" s="117">
        <v>86</v>
      </c>
      <c r="M90" s="130" t="str">
        <f t="shared" si="52"/>
        <v/>
      </c>
      <c r="N90" s="131">
        <f t="shared" si="58"/>
        <v>0</v>
      </c>
      <c r="O90" s="131">
        <f t="shared" si="53"/>
        <v>0</v>
      </c>
      <c r="P90" s="131">
        <f t="shared" si="59"/>
        <v>0</v>
      </c>
      <c r="Q90" s="120">
        <f t="shared" si="70"/>
        <v>28</v>
      </c>
      <c r="R90" s="120">
        <f t="shared" si="71"/>
        <v>2</v>
      </c>
      <c r="S90" s="119"/>
      <c r="T90" s="121">
        <f t="shared" si="72"/>
        <v>0</v>
      </c>
      <c r="U90" s="121">
        <f t="shared" si="73"/>
        <v>0</v>
      </c>
      <c r="W90" s="117">
        <v>86</v>
      </c>
      <c r="X90" s="130" t="str">
        <f t="shared" si="54"/>
        <v/>
      </c>
      <c r="Y90" s="131">
        <f t="shared" si="60"/>
        <v>0</v>
      </c>
      <c r="Z90" s="131">
        <f t="shared" si="55"/>
        <v>0</v>
      </c>
      <c r="AA90" s="131">
        <f t="shared" si="61"/>
        <v>0</v>
      </c>
      <c r="AB90" s="120">
        <f t="shared" si="74"/>
        <v>28</v>
      </c>
      <c r="AC90" s="120">
        <f t="shared" si="75"/>
        <v>2</v>
      </c>
      <c r="AD90" s="119"/>
      <c r="AE90" s="121">
        <f t="shared" si="76"/>
        <v>0</v>
      </c>
      <c r="AF90" s="121">
        <f t="shared" si="77"/>
        <v>0</v>
      </c>
      <c r="AG90" s="117">
        <f t="shared" si="80"/>
        <v>86</v>
      </c>
      <c r="AH90" s="171">
        <f t="shared" si="62"/>
        <v>9477</v>
      </c>
      <c r="AI90" s="171">
        <f t="shared" si="63"/>
        <v>165042</v>
      </c>
      <c r="AJ90" s="171">
        <f t="shared" si="64"/>
        <v>2805820</v>
      </c>
    </row>
    <row r="91" spans="1:36">
      <c r="A91" s="117">
        <v>87</v>
      </c>
      <c r="B91" s="130">
        <f t="shared" si="65"/>
        <v>82521</v>
      </c>
      <c r="C91" s="131">
        <f t="shared" si="56"/>
        <v>4766</v>
      </c>
      <c r="D91" s="131">
        <f t="shared" si="51"/>
        <v>87287</v>
      </c>
      <c r="E91" s="131">
        <f t="shared" si="57"/>
        <v>2723299</v>
      </c>
      <c r="F91" s="120">
        <f t="shared" si="66"/>
        <v>31</v>
      </c>
      <c r="G91" s="120">
        <f t="shared" si="67"/>
        <v>3</v>
      </c>
      <c r="H91" s="119"/>
      <c r="I91" s="121">
        <f t="shared" si="68"/>
        <v>14243</v>
      </c>
      <c r="J91" s="121">
        <f t="shared" si="69"/>
        <v>247563</v>
      </c>
      <c r="L91" s="117">
        <v>87</v>
      </c>
      <c r="M91" s="130" t="str">
        <f t="shared" si="52"/>
        <v/>
      </c>
      <c r="N91" s="131">
        <f t="shared" si="58"/>
        <v>0</v>
      </c>
      <c r="O91" s="131">
        <f t="shared" si="53"/>
        <v>0</v>
      </c>
      <c r="P91" s="131">
        <f t="shared" si="59"/>
        <v>0</v>
      </c>
      <c r="Q91" s="120">
        <f t="shared" si="70"/>
        <v>31</v>
      </c>
      <c r="R91" s="120">
        <f t="shared" si="71"/>
        <v>3</v>
      </c>
      <c r="S91" s="119"/>
      <c r="T91" s="121">
        <f t="shared" si="72"/>
        <v>0</v>
      </c>
      <c r="U91" s="121">
        <f t="shared" si="73"/>
        <v>0</v>
      </c>
      <c r="W91" s="117">
        <v>87</v>
      </c>
      <c r="X91" s="130" t="str">
        <f t="shared" si="54"/>
        <v/>
      </c>
      <c r="Y91" s="131">
        <f t="shared" si="60"/>
        <v>0</v>
      </c>
      <c r="Z91" s="131">
        <f t="shared" si="55"/>
        <v>0</v>
      </c>
      <c r="AA91" s="131">
        <f t="shared" si="61"/>
        <v>0</v>
      </c>
      <c r="AB91" s="120">
        <f t="shared" si="74"/>
        <v>31</v>
      </c>
      <c r="AC91" s="120">
        <f t="shared" si="75"/>
        <v>3</v>
      </c>
      <c r="AD91" s="119"/>
      <c r="AE91" s="121">
        <f t="shared" si="76"/>
        <v>0</v>
      </c>
      <c r="AF91" s="121">
        <f t="shared" si="77"/>
        <v>0</v>
      </c>
      <c r="AG91" s="117">
        <f t="shared" si="80"/>
        <v>87</v>
      </c>
      <c r="AH91" s="171">
        <f t="shared" si="62"/>
        <v>14243</v>
      </c>
      <c r="AI91" s="171">
        <f t="shared" si="63"/>
        <v>247563</v>
      </c>
      <c r="AJ91" s="171">
        <f t="shared" si="64"/>
        <v>2723299</v>
      </c>
    </row>
    <row r="92" spans="1:36">
      <c r="A92" s="117">
        <v>88</v>
      </c>
      <c r="B92" s="130">
        <f t="shared" si="65"/>
        <v>82521</v>
      </c>
      <c r="C92" s="131">
        <f t="shared" si="56"/>
        <v>4477</v>
      </c>
      <c r="D92" s="131">
        <f t="shared" si="51"/>
        <v>86998</v>
      </c>
      <c r="E92" s="131">
        <f t="shared" si="57"/>
        <v>2640778</v>
      </c>
      <c r="F92" s="120">
        <f t="shared" si="66"/>
        <v>30</v>
      </c>
      <c r="G92" s="120">
        <f t="shared" si="67"/>
        <v>4</v>
      </c>
      <c r="H92" s="119"/>
      <c r="I92" s="121">
        <f t="shared" si="68"/>
        <v>18720</v>
      </c>
      <c r="J92" s="121">
        <f t="shared" si="69"/>
        <v>330084</v>
      </c>
      <c r="L92" s="117">
        <v>88</v>
      </c>
      <c r="M92" s="130" t="str">
        <f t="shared" si="52"/>
        <v/>
      </c>
      <c r="N92" s="131">
        <f t="shared" si="58"/>
        <v>0</v>
      </c>
      <c r="O92" s="131">
        <f t="shared" si="53"/>
        <v>0</v>
      </c>
      <c r="P92" s="131">
        <f t="shared" si="59"/>
        <v>0</v>
      </c>
      <c r="Q92" s="120">
        <f t="shared" si="70"/>
        <v>30</v>
      </c>
      <c r="R92" s="120">
        <f t="shared" si="71"/>
        <v>4</v>
      </c>
      <c r="S92" s="119"/>
      <c r="T92" s="121">
        <f t="shared" si="72"/>
        <v>0</v>
      </c>
      <c r="U92" s="121">
        <f t="shared" si="73"/>
        <v>0</v>
      </c>
      <c r="W92" s="117">
        <v>88</v>
      </c>
      <c r="X92" s="130" t="str">
        <f t="shared" si="54"/>
        <v/>
      </c>
      <c r="Y92" s="131">
        <f t="shared" si="60"/>
        <v>0</v>
      </c>
      <c r="Z92" s="131">
        <f t="shared" si="55"/>
        <v>0</v>
      </c>
      <c r="AA92" s="131">
        <f t="shared" si="61"/>
        <v>0</v>
      </c>
      <c r="AB92" s="120">
        <f t="shared" si="74"/>
        <v>30</v>
      </c>
      <c r="AC92" s="120">
        <f t="shared" si="75"/>
        <v>4</v>
      </c>
      <c r="AD92" s="119"/>
      <c r="AE92" s="121">
        <f t="shared" si="76"/>
        <v>0</v>
      </c>
      <c r="AF92" s="121">
        <f t="shared" si="77"/>
        <v>0</v>
      </c>
      <c r="AG92" s="117">
        <f t="shared" si="80"/>
        <v>88</v>
      </c>
      <c r="AH92" s="171">
        <f t="shared" si="62"/>
        <v>18720</v>
      </c>
      <c r="AI92" s="171">
        <f t="shared" si="63"/>
        <v>330084</v>
      </c>
      <c r="AJ92" s="171">
        <f t="shared" si="64"/>
        <v>2640778</v>
      </c>
    </row>
    <row r="93" spans="1:36">
      <c r="A93" s="117">
        <v>89</v>
      </c>
      <c r="B93" s="130">
        <f t="shared" si="65"/>
        <v>82521</v>
      </c>
      <c r="C93" s="131">
        <f t="shared" si="56"/>
        <v>4486</v>
      </c>
      <c r="D93" s="131">
        <f t="shared" si="51"/>
        <v>87007</v>
      </c>
      <c r="E93" s="131">
        <f t="shared" si="57"/>
        <v>2558257</v>
      </c>
      <c r="F93" s="120">
        <f t="shared" si="66"/>
        <v>31</v>
      </c>
      <c r="G93" s="120">
        <f t="shared" si="67"/>
        <v>5</v>
      </c>
      <c r="H93" s="119"/>
      <c r="I93" s="121">
        <f t="shared" si="68"/>
        <v>23206</v>
      </c>
      <c r="J93" s="121">
        <f t="shared" si="69"/>
        <v>412605</v>
      </c>
      <c r="L93" s="117">
        <v>89</v>
      </c>
      <c r="M93" s="130" t="str">
        <f t="shared" si="52"/>
        <v/>
      </c>
      <c r="N93" s="131">
        <f t="shared" si="58"/>
        <v>0</v>
      </c>
      <c r="O93" s="131">
        <f t="shared" si="53"/>
        <v>0</v>
      </c>
      <c r="P93" s="131">
        <f t="shared" si="59"/>
        <v>0</v>
      </c>
      <c r="Q93" s="120">
        <f t="shared" si="70"/>
        <v>31</v>
      </c>
      <c r="R93" s="120">
        <f t="shared" si="71"/>
        <v>5</v>
      </c>
      <c r="S93" s="119"/>
      <c r="T93" s="121">
        <f t="shared" si="72"/>
        <v>0</v>
      </c>
      <c r="U93" s="121">
        <f t="shared" si="73"/>
        <v>0</v>
      </c>
      <c r="W93" s="117">
        <v>89</v>
      </c>
      <c r="X93" s="130" t="str">
        <f t="shared" si="54"/>
        <v/>
      </c>
      <c r="Y93" s="131">
        <f t="shared" si="60"/>
        <v>0</v>
      </c>
      <c r="Z93" s="131">
        <f t="shared" si="55"/>
        <v>0</v>
      </c>
      <c r="AA93" s="131">
        <f t="shared" si="61"/>
        <v>0</v>
      </c>
      <c r="AB93" s="120">
        <f t="shared" si="74"/>
        <v>31</v>
      </c>
      <c r="AC93" s="120">
        <f t="shared" si="75"/>
        <v>5</v>
      </c>
      <c r="AD93" s="119"/>
      <c r="AE93" s="121">
        <f t="shared" si="76"/>
        <v>0</v>
      </c>
      <c r="AF93" s="121">
        <f t="shared" si="77"/>
        <v>0</v>
      </c>
      <c r="AG93" s="117">
        <f t="shared" si="80"/>
        <v>89</v>
      </c>
      <c r="AH93" s="171">
        <f t="shared" si="62"/>
        <v>23206</v>
      </c>
      <c r="AI93" s="171">
        <f t="shared" si="63"/>
        <v>412605</v>
      </c>
      <c r="AJ93" s="171">
        <f t="shared" si="64"/>
        <v>2558257</v>
      </c>
    </row>
    <row r="94" spans="1:36">
      <c r="A94" s="117">
        <v>90</v>
      </c>
      <c r="B94" s="130">
        <f t="shared" si="65"/>
        <v>82521</v>
      </c>
      <c r="C94" s="131">
        <f t="shared" si="56"/>
        <v>4205</v>
      </c>
      <c r="D94" s="131">
        <f t="shared" si="51"/>
        <v>86726</v>
      </c>
      <c r="E94" s="131">
        <f t="shared" si="57"/>
        <v>2475736</v>
      </c>
      <c r="F94" s="120">
        <f t="shared" si="66"/>
        <v>30</v>
      </c>
      <c r="G94" s="120">
        <f t="shared" si="67"/>
        <v>6</v>
      </c>
      <c r="H94" s="119"/>
      <c r="I94" s="121">
        <f t="shared" si="68"/>
        <v>27411</v>
      </c>
      <c r="J94" s="121">
        <f t="shared" si="69"/>
        <v>495126</v>
      </c>
      <c r="L94" s="117">
        <v>90</v>
      </c>
      <c r="M94" s="130" t="str">
        <f t="shared" si="52"/>
        <v/>
      </c>
      <c r="N94" s="131">
        <f t="shared" si="58"/>
        <v>0</v>
      </c>
      <c r="O94" s="131">
        <f t="shared" si="53"/>
        <v>0</v>
      </c>
      <c r="P94" s="131">
        <f t="shared" si="59"/>
        <v>0</v>
      </c>
      <c r="Q94" s="120">
        <f t="shared" si="70"/>
        <v>30</v>
      </c>
      <c r="R94" s="120">
        <f t="shared" si="71"/>
        <v>6</v>
      </c>
      <c r="S94" s="119"/>
      <c r="T94" s="121">
        <f t="shared" si="72"/>
        <v>0</v>
      </c>
      <c r="U94" s="121">
        <f t="shared" si="73"/>
        <v>0</v>
      </c>
      <c r="W94" s="117">
        <v>90</v>
      </c>
      <c r="X94" s="130" t="str">
        <f t="shared" si="54"/>
        <v/>
      </c>
      <c r="Y94" s="131">
        <f t="shared" si="60"/>
        <v>0</v>
      </c>
      <c r="Z94" s="131">
        <f t="shared" si="55"/>
        <v>0</v>
      </c>
      <c r="AA94" s="131">
        <f t="shared" si="61"/>
        <v>0</v>
      </c>
      <c r="AB94" s="120">
        <f t="shared" si="74"/>
        <v>30</v>
      </c>
      <c r="AC94" s="120">
        <f t="shared" si="75"/>
        <v>6</v>
      </c>
      <c r="AD94" s="119"/>
      <c r="AE94" s="121">
        <f t="shared" si="76"/>
        <v>0</v>
      </c>
      <c r="AF94" s="121">
        <f t="shared" si="77"/>
        <v>0</v>
      </c>
      <c r="AG94" s="117">
        <f t="shared" si="80"/>
        <v>90</v>
      </c>
      <c r="AH94" s="171">
        <f t="shared" si="62"/>
        <v>27411</v>
      </c>
      <c r="AI94" s="171">
        <f t="shared" si="63"/>
        <v>495126</v>
      </c>
      <c r="AJ94" s="171">
        <f t="shared" si="64"/>
        <v>2475736</v>
      </c>
    </row>
    <row r="95" spans="1:36">
      <c r="A95" s="117">
        <v>91</v>
      </c>
      <c r="B95" s="130">
        <f t="shared" si="65"/>
        <v>82521</v>
      </c>
      <c r="C95" s="131">
        <f t="shared" si="56"/>
        <v>4205</v>
      </c>
      <c r="D95" s="131">
        <f t="shared" si="51"/>
        <v>86726</v>
      </c>
      <c r="E95" s="131">
        <f t="shared" si="57"/>
        <v>2393215</v>
      </c>
      <c r="F95" s="120">
        <f t="shared" si="66"/>
        <v>31</v>
      </c>
      <c r="G95" s="120">
        <f t="shared" si="67"/>
        <v>7</v>
      </c>
      <c r="H95" s="119"/>
      <c r="I95" s="121">
        <f t="shared" si="68"/>
        <v>31616</v>
      </c>
      <c r="J95" s="121">
        <f t="shared" si="69"/>
        <v>577647</v>
      </c>
      <c r="L95" s="117">
        <v>91</v>
      </c>
      <c r="M95" s="130" t="str">
        <f t="shared" si="52"/>
        <v/>
      </c>
      <c r="N95" s="131">
        <f t="shared" si="58"/>
        <v>0</v>
      </c>
      <c r="O95" s="131">
        <f t="shared" si="53"/>
        <v>0</v>
      </c>
      <c r="P95" s="131">
        <f t="shared" si="59"/>
        <v>0</v>
      </c>
      <c r="Q95" s="120">
        <f t="shared" si="70"/>
        <v>31</v>
      </c>
      <c r="R95" s="120">
        <f t="shared" si="71"/>
        <v>7</v>
      </c>
      <c r="S95" s="119"/>
      <c r="T95" s="121">
        <f t="shared" si="72"/>
        <v>0</v>
      </c>
      <c r="U95" s="121">
        <f t="shared" si="73"/>
        <v>0</v>
      </c>
      <c r="W95" s="117">
        <v>91</v>
      </c>
      <c r="X95" s="130" t="str">
        <f t="shared" si="54"/>
        <v/>
      </c>
      <c r="Y95" s="131">
        <f t="shared" si="60"/>
        <v>0</v>
      </c>
      <c r="Z95" s="131">
        <f t="shared" si="55"/>
        <v>0</v>
      </c>
      <c r="AA95" s="131">
        <f t="shared" si="61"/>
        <v>0</v>
      </c>
      <c r="AB95" s="120">
        <f t="shared" si="74"/>
        <v>31</v>
      </c>
      <c r="AC95" s="120">
        <f t="shared" si="75"/>
        <v>7</v>
      </c>
      <c r="AD95" s="119"/>
      <c r="AE95" s="121">
        <f t="shared" si="76"/>
        <v>0</v>
      </c>
      <c r="AF95" s="121">
        <f t="shared" si="77"/>
        <v>0</v>
      </c>
      <c r="AG95" s="117">
        <f t="shared" si="80"/>
        <v>91</v>
      </c>
      <c r="AH95" s="171">
        <f t="shared" si="62"/>
        <v>31616</v>
      </c>
      <c r="AI95" s="171">
        <f t="shared" si="63"/>
        <v>577647</v>
      </c>
      <c r="AJ95" s="171">
        <f t="shared" si="64"/>
        <v>2393215</v>
      </c>
    </row>
    <row r="96" spans="1:36">
      <c r="A96" s="117">
        <v>92</v>
      </c>
      <c r="B96" s="130">
        <f t="shared" si="65"/>
        <v>82521</v>
      </c>
      <c r="C96" s="131">
        <f t="shared" si="56"/>
        <v>4065</v>
      </c>
      <c r="D96" s="131">
        <f t="shared" si="51"/>
        <v>86586</v>
      </c>
      <c r="E96" s="131">
        <f t="shared" si="57"/>
        <v>2310694</v>
      </c>
      <c r="F96" s="120">
        <f t="shared" si="66"/>
        <v>31</v>
      </c>
      <c r="G96" s="120">
        <f t="shared" si="67"/>
        <v>8</v>
      </c>
      <c r="H96" s="119"/>
      <c r="I96" s="121">
        <f t="shared" si="68"/>
        <v>35681</v>
      </c>
      <c r="J96" s="121">
        <f t="shared" si="69"/>
        <v>660168</v>
      </c>
      <c r="L96" s="117">
        <v>92</v>
      </c>
      <c r="M96" s="130" t="str">
        <f t="shared" si="52"/>
        <v/>
      </c>
      <c r="N96" s="131">
        <f t="shared" si="58"/>
        <v>0</v>
      </c>
      <c r="O96" s="131">
        <f t="shared" si="53"/>
        <v>0</v>
      </c>
      <c r="P96" s="131">
        <f t="shared" si="59"/>
        <v>0</v>
      </c>
      <c r="Q96" s="120">
        <f t="shared" si="70"/>
        <v>31</v>
      </c>
      <c r="R96" s="120">
        <f t="shared" si="71"/>
        <v>8</v>
      </c>
      <c r="S96" s="119"/>
      <c r="T96" s="121">
        <f t="shared" si="72"/>
        <v>0</v>
      </c>
      <c r="U96" s="121">
        <f t="shared" si="73"/>
        <v>0</v>
      </c>
      <c r="W96" s="117">
        <v>92</v>
      </c>
      <c r="X96" s="130" t="str">
        <f t="shared" si="54"/>
        <v/>
      </c>
      <c r="Y96" s="131">
        <f t="shared" si="60"/>
        <v>0</v>
      </c>
      <c r="Z96" s="131">
        <f t="shared" si="55"/>
        <v>0</v>
      </c>
      <c r="AA96" s="131">
        <f t="shared" si="61"/>
        <v>0</v>
      </c>
      <c r="AB96" s="120">
        <f t="shared" si="74"/>
        <v>31</v>
      </c>
      <c r="AC96" s="120">
        <f t="shared" si="75"/>
        <v>8</v>
      </c>
      <c r="AD96" s="119"/>
      <c r="AE96" s="121">
        <f t="shared" si="76"/>
        <v>0</v>
      </c>
      <c r="AF96" s="121">
        <f t="shared" si="77"/>
        <v>0</v>
      </c>
      <c r="AG96" s="117">
        <f t="shared" si="80"/>
        <v>92</v>
      </c>
      <c r="AH96" s="171">
        <f t="shared" si="62"/>
        <v>35681</v>
      </c>
      <c r="AI96" s="171">
        <f t="shared" si="63"/>
        <v>660168</v>
      </c>
      <c r="AJ96" s="171">
        <f t="shared" si="64"/>
        <v>2310694</v>
      </c>
    </row>
    <row r="97" spans="1:36">
      <c r="A97" s="117">
        <v>93</v>
      </c>
      <c r="B97" s="130">
        <f t="shared" si="65"/>
        <v>82521</v>
      </c>
      <c r="C97" s="131">
        <f t="shared" si="56"/>
        <v>3798</v>
      </c>
      <c r="D97" s="131">
        <f t="shared" si="51"/>
        <v>86319</v>
      </c>
      <c r="E97" s="131">
        <f t="shared" si="57"/>
        <v>2228173</v>
      </c>
      <c r="F97" s="120">
        <f t="shared" si="66"/>
        <v>30</v>
      </c>
      <c r="G97" s="120">
        <f t="shared" si="67"/>
        <v>9</v>
      </c>
      <c r="H97" s="119"/>
      <c r="I97" s="121">
        <f t="shared" si="68"/>
        <v>39479</v>
      </c>
      <c r="J97" s="121">
        <f t="shared" si="69"/>
        <v>742689</v>
      </c>
      <c r="L97" s="117">
        <v>93</v>
      </c>
      <c r="M97" s="130" t="str">
        <f t="shared" si="52"/>
        <v/>
      </c>
      <c r="N97" s="131">
        <f t="shared" si="58"/>
        <v>0</v>
      </c>
      <c r="O97" s="131">
        <f t="shared" si="53"/>
        <v>0</v>
      </c>
      <c r="P97" s="131">
        <f t="shared" si="59"/>
        <v>0</v>
      </c>
      <c r="Q97" s="120">
        <f t="shared" si="70"/>
        <v>30</v>
      </c>
      <c r="R97" s="120">
        <f t="shared" si="71"/>
        <v>9</v>
      </c>
      <c r="S97" s="119"/>
      <c r="T97" s="121">
        <f t="shared" si="72"/>
        <v>0</v>
      </c>
      <c r="U97" s="121">
        <f t="shared" si="73"/>
        <v>0</v>
      </c>
      <c r="W97" s="117">
        <v>93</v>
      </c>
      <c r="X97" s="130" t="str">
        <f t="shared" si="54"/>
        <v/>
      </c>
      <c r="Y97" s="131">
        <f t="shared" si="60"/>
        <v>0</v>
      </c>
      <c r="Z97" s="131">
        <f t="shared" si="55"/>
        <v>0</v>
      </c>
      <c r="AA97" s="131">
        <f t="shared" si="61"/>
        <v>0</v>
      </c>
      <c r="AB97" s="120">
        <f t="shared" si="74"/>
        <v>30</v>
      </c>
      <c r="AC97" s="120">
        <f t="shared" si="75"/>
        <v>9</v>
      </c>
      <c r="AD97" s="119"/>
      <c r="AE97" s="121">
        <f t="shared" si="76"/>
        <v>0</v>
      </c>
      <c r="AF97" s="121">
        <f t="shared" si="77"/>
        <v>0</v>
      </c>
      <c r="AG97" s="117">
        <f t="shared" si="80"/>
        <v>93</v>
      </c>
      <c r="AH97" s="171">
        <f t="shared" si="62"/>
        <v>39479</v>
      </c>
      <c r="AI97" s="171">
        <f t="shared" si="63"/>
        <v>742689</v>
      </c>
      <c r="AJ97" s="171">
        <f t="shared" si="64"/>
        <v>2228173</v>
      </c>
    </row>
    <row r="98" spans="1:36">
      <c r="A98" s="117">
        <v>94</v>
      </c>
      <c r="B98" s="130">
        <f t="shared" si="65"/>
        <v>82521</v>
      </c>
      <c r="C98" s="131">
        <f t="shared" si="56"/>
        <v>3785</v>
      </c>
      <c r="D98" s="131">
        <f t="shared" si="51"/>
        <v>86306</v>
      </c>
      <c r="E98" s="131">
        <f t="shared" si="57"/>
        <v>2145652</v>
      </c>
      <c r="F98" s="120">
        <f t="shared" si="66"/>
        <v>31</v>
      </c>
      <c r="G98" s="120">
        <f t="shared" si="67"/>
        <v>10</v>
      </c>
      <c r="H98" s="119"/>
      <c r="I98" s="121">
        <f t="shared" si="68"/>
        <v>43264</v>
      </c>
      <c r="J98" s="121">
        <f t="shared" si="69"/>
        <v>825210</v>
      </c>
      <c r="L98" s="117">
        <v>94</v>
      </c>
      <c r="M98" s="130" t="str">
        <f t="shared" si="52"/>
        <v/>
      </c>
      <c r="N98" s="131">
        <f t="shared" si="58"/>
        <v>0</v>
      </c>
      <c r="O98" s="131">
        <f t="shared" si="53"/>
        <v>0</v>
      </c>
      <c r="P98" s="131">
        <f t="shared" si="59"/>
        <v>0</v>
      </c>
      <c r="Q98" s="120">
        <f t="shared" si="70"/>
        <v>31</v>
      </c>
      <c r="R98" s="120">
        <f t="shared" si="71"/>
        <v>10</v>
      </c>
      <c r="S98" s="119"/>
      <c r="T98" s="121">
        <f t="shared" si="72"/>
        <v>0</v>
      </c>
      <c r="U98" s="121">
        <f t="shared" si="73"/>
        <v>0</v>
      </c>
      <c r="W98" s="117">
        <v>94</v>
      </c>
      <c r="X98" s="130" t="str">
        <f t="shared" si="54"/>
        <v/>
      </c>
      <c r="Y98" s="131">
        <f t="shared" si="60"/>
        <v>0</v>
      </c>
      <c r="Z98" s="131">
        <f t="shared" si="55"/>
        <v>0</v>
      </c>
      <c r="AA98" s="131">
        <f t="shared" si="61"/>
        <v>0</v>
      </c>
      <c r="AB98" s="120">
        <f t="shared" si="74"/>
        <v>31</v>
      </c>
      <c r="AC98" s="120">
        <f t="shared" si="75"/>
        <v>10</v>
      </c>
      <c r="AD98" s="119"/>
      <c r="AE98" s="121">
        <f t="shared" si="76"/>
        <v>0</v>
      </c>
      <c r="AF98" s="121">
        <f t="shared" si="77"/>
        <v>0</v>
      </c>
      <c r="AG98" s="117">
        <f t="shared" si="80"/>
        <v>94</v>
      </c>
      <c r="AH98" s="171">
        <f t="shared" si="62"/>
        <v>43264</v>
      </c>
      <c r="AI98" s="171">
        <f t="shared" si="63"/>
        <v>825210</v>
      </c>
      <c r="AJ98" s="171">
        <f t="shared" si="64"/>
        <v>2145652</v>
      </c>
    </row>
    <row r="99" spans="1:36">
      <c r="A99" s="117">
        <v>95</v>
      </c>
      <c r="B99" s="130">
        <f t="shared" si="65"/>
        <v>82521</v>
      </c>
      <c r="C99" s="131">
        <f t="shared" si="56"/>
        <v>3527</v>
      </c>
      <c r="D99" s="131">
        <f t="shared" si="51"/>
        <v>86048</v>
      </c>
      <c r="E99" s="131">
        <f t="shared" si="57"/>
        <v>2063131</v>
      </c>
      <c r="F99" s="120">
        <f t="shared" si="66"/>
        <v>30</v>
      </c>
      <c r="G99" s="120">
        <f t="shared" si="67"/>
        <v>11</v>
      </c>
      <c r="H99" s="119"/>
      <c r="I99" s="121">
        <f t="shared" si="68"/>
        <v>46791</v>
      </c>
      <c r="J99" s="121">
        <f t="shared" si="69"/>
        <v>907731</v>
      </c>
      <c r="L99" s="117">
        <v>95</v>
      </c>
      <c r="M99" s="130" t="str">
        <f t="shared" si="52"/>
        <v/>
      </c>
      <c r="N99" s="131">
        <f t="shared" si="58"/>
        <v>0</v>
      </c>
      <c r="O99" s="131">
        <f t="shared" si="53"/>
        <v>0</v>
      </c>
      <c r="P99" s="131">
        <f t="shared" si="59"/>
        <v>0</v>
      </c>
      <c r="Q99" s="120">
        <f t="shared" si="70"/>
        <v>30</v>
      </c>
      <c r="R99" s="120">
        <f t="shared" si="71"/>
        <v>11</v>
      </c>
      <c r="S99" s="119"/>
      <c r="T99" s="121">
        <f t="shared" si="72"/>
        <v>0</v>
      </c>
      <c r="U99" s="121">
        <f t="shared" si="73"/>
        <v>0</v>
      </c>
      <c r="W99" s="117">
        <v>95</v>
      </c>
      <c r="X99" s="130" t="str">
        <f t="shared" si="54"/>
        <v/>
      </c>
      <c r="Y99" s="131">
        <f t="shared" si="60"/>
        <v>0</v>
      </c>
      <c r="Z99" s="131">
        <f t="shared" si="55"/>
        <v>0</v>
      </c>
      <c r="AA99" s="131">
        <f t="shared" si="61"/>
        <v>0</v>
      </c>
      <c r="AB99" s="120">
        <f t="shared" si="74"/>
        <v>30</v>
      </c>
      <c r="AC99" s="120">
        <f t="shared" si="75"/>
        <v>11</v>
      </c>
      <c r="AD99" s="119"/>
      <c r="AE99" s="121">
        <f t="shared" si="76"/>
        <v>0</v>
      </c>
      <c r="AF99" s="121">
        <f t="shared" si="77"/>
        <v>0</v>
      </c>
      <c r="AG99" s="117">
        <f t="shared" si="80"/>
        <v>95</v>
      </c>
      <c r="AH99" s="171">
        <f t="shared" si="62"/>
        <v>46791</v>
      </c>
      <c r="AI99" s="171">
        <f t="shared" si="63"/>
        <v>907731</v>
      </c>
      <c r="AJ99" s="171">
        <f t="shared" si="64"/>
        <v>2063131</v>
      </c>
    </row>
    <row r="100" spans="1:36">
      <c r="A100" s="117">
        <v>96</v>
      </c>
      <c r="B100" s="130">
        <f t="shared" si="65"/>
        <v>82521</v>
      </c>
      <c r="C100" s="131">
        <f t="shared" si="56"/>
        <v>3504</v>
      </c>
      <c r="D100" s="131">
        <f t="shared" si="51"/>
        <v>86025</v>
      </c>
      <c r="E100" s="131">
        <f t="shared" si="57"/>
        <v>1980610</v>
      </c>
      <c r="F100" s="120">
        <f t="shared" si="66"/>
        <v>31</v>
      </c>
      <c r="G100" s="120">
        <f t="shared" si="67"/>
        <v>12</v>
      </c>
      <c r="H100" s="119"/>
      <c r="I100" s="121">
        <f t="shared" si="68"/>
        <v>50295</v>
      </c>
      <c r="J100" s="121">
        <f t="shared" si="69"/>
        <v>990252</v>
      </c>
      <c r="L100" s="117">
        <v>96</v>
      </c>
      <c r="M100" s="130" t="str">
        <f t="shared" si="52"/>
        <v/>
      </c>
      <c r="N100" s="131">
        <f t="shared" si="58"/>
        <v>0</v>
      </c>
      <c r="O100" s="131">
        <f t="shared" si="53"/>
        <v>0</v>
      </c>
      <c r="P100" s="131">
        <f t="shared" si="59"/>
        <v>0</v>
      </c>
      <c r="Q100" s="120">
        <f t="shared" si="70"/>
        <v>31</v>
      </c>
      <c r="R100" s="120">
        <f t="shared" si="71"/>
        <v>12</v>
      </c>
      <c r="S100" s="119"/>
      <c r="T100" s="121">
        <f t="shared" si="72"/>
        <v>0</v>
      </c>
      <c r="U100" s="121">
        <f t="shared" si="73"/>
        <v>0</v>
      </c>
      <c r="W100" s="117">
        <v>96</v>
      </c>
      <c r="X100" s="130" t="str">
        <f t="shared" si="54"/>
        <v/>
      </c>
      <c r="Y100" s="131">
        <f t="shared" si="60"/>
        <v>0</v>
      </c>
      <c r="Z100" s="131">
        <f t="shared" si="55"/>
        <v>0</v>
      </c>
      <c r="AA100" s="131">
        <f t="shared" si="61"/>
        <v>0</v>
      </c>
      <c r="AB100" s="120">
        <f t="shared" si="74"/>
        <v>31</v>
      </c>
      <c r="AC100" s="120">
        <f t="shared" si="75"/>
        <v>12</v>
      </c>
      <c r="AD100" s="119"/>
      <c r="AE100" s="121">
        <f t="shared" si="76"/>
        <v>0</v>
      </c>
      <c r="AF100" s="121">
        <f t="shared" si="77"/>
        <v>0</v>
      </c>
      <c r="AG100" s="117">
        <f t="shared" si="80"/>
        <v>96</v>
      </c>
      <c r="AH100" s="171">
        <f t="shared" si="62"/>
        <v>50295</v>
      </c>
      <c r="AI100" s="171">
        <f t="shared" si="63"/>
        <v>990252</v>
      </c>
      <c r="AJ100" s="171">
        <f t="shared" si="64"/>
        <v>1980610</v>
      </c>
    </row>
    <row r="101" spans="1:36">
      <c r="A101" s="117">
        <v>97</v>
      </c>
      <c r="B101" s="130">
        <f t="shared" si="65"/>
        <v>82521</v>
      </c>
      <c r="C101" s="131">
        <f t="shared" si="56"/>
        <v>3364</v>
      </c>
      <c r="D101" s="131">
        <f t="shared" si="51"/>
        <v>85885</v>
      </c>
      <c r="E101" s="131">
        <f t="shared" si="57"/>
        <v>1898089</v>
      </c>
      <c r="F101" s="120">
        <f t="shared" si="66"/>
        <v>31</v>
      </c>
      <c r="G101" s="120">
        <f t="shared" si="67"/>
        <v>1</v>
      </c>
      <c r="H101" s="119"/>
      <c r="I101" s="121">
        <f t="shared" si="68"/>
        <v>3364</v>
      </c>
      <c r="J101" s="121">
        <f t="shared" si="69"/>
        <v>82521</v>
      </c>
      <c r="L101" s="117">
        <v>97</v>
      </c>
      <c r="M101" s="130" t="str">
        <f t="shared" ref="M101:M124" si="81">IF(L101&gt;=$O$3+1,"",IF(L101&lt;$Q$2+1,0,TRUNC($Q$3/($O$3-$Q$2))*1))</f>
        <v/>
      </c>
      <c r="N101" s="131">
        <f t="shared" si="58"/>
        <v>0</v>
      </c>
      <c r="O101" s="131">
        <f t="shared" si="53"/>
        <v>0</v>
      </c>
      <c r="P101" s="131">
        <f t="shared" si="59"/>
        <v>0</v>
      </c>
      <c r="Q101" s="120">
        <f t="shared" si="70"/>
        <v>31</v>
      </c>
      <c r="R101" s="120">
        <f t="shared" si="71"/>
        <v>1</v>
      </c>
      <c r="S101" s="119"/>
      <c r="T101" s="121">
        <f t="shared" si="72"/>
        <v>0</v>
      </c>
      <c r="U101" s="121" t="str">
        <f t="shared" si="73"/>
        <v/>
      </c>
      <c r="W101" s="117">
        <v>97</v>
      </c>
      <c r="X101" s="130" t="str">
        <f t="shared" ref="X101:X124" si="82">IF(W101&gt;=$Z$3+1,"",IF(W101&lt;$AB$2+1,0,TRUNC($AB$3/($Z$3-$AB$2))*1))</f>
        <v/>
      </c>
      <c r="Y101" s="131">
        <f t="shared" si="60"/>
        <v>0</v>
      </c>
      <c r="Z101" s="131">
        <f t="shared" si="55"/>
        <v>0</v>
      </c>
      <c r="AA101" s="131">
        <f t="shared" si="61"/>
        <v>0</v>
      </c>
      <c r="AB101" s="120">
        <f t="shared" si="74"/>
        <v>31</v>
      </c>
      <c r="AC101" s="120">
        <f t="shared" si="75"/>
        <v>1</v>
      </c>
      <c r="AD101" s="119"/>
      <c r="AE101" s="121">
        <f t="shared" si="76"/>
        <v>0</v>
      </c>
      <c r="AF101" s="121" t="str">
        <f t="shared" si="77"/>
        <v/>
      </c>
      <c r="AG101" s="117">
        <f t="shared" si="80"/>
        <v>97</v>
      </c>
      <c r="AH101" s="171">
        <f t="shared" si="62"/>
        <v>3364</v>
      </c>
      <c r="AI101" s="171">
        <f t="shared" si="63"/>
        <v>82521</v>
      </c>
      <c r="AJ101" s="171">
        <f t="shared" si="64"/>
        <v>1898089</v>
      </c>
    </row>
    <row r="102" spans="1:36">
      <c r="A102" s="117">
        <v>98</v>
      </c>
      <c r="B102" s="130">
        <f t="shared" si="65"/>
        <v>82521</v>
      </c>
      <c r="C102" s="131">
        <f t="shared" si="56"/>
        <v>2912</v>
      </c>
      <c r="D102" s="131">
        <f t="shared" si="51"/>
        <v>85433</v>
      </c>
      <c r="E102" s="131">
        <f t="shared" si="57"/>
        <v>1815568</v>
      </c>
      <c r="F102" s="120">
        <f t="shared" si="66"/>
        <v>28</v>
      </c>
      <c r="G102" s="120">
        <f t="shared" si="67"/>
        <v>2</v>
      </c>
      <c r="H102" s="119"/>
      <c r="I102" s="121">
        <f t="shared" si="68"/>
        <v>6276</v>
      </c>
      <c r="J102" s="121">
        <f t="shared" si="69"/>
        <v>165042</v>
      </c>
      <c r="L102" s="117">
        <v>98</v>
      </c>
      <c r="M102" s="130" t="str">
        <f t="shared" si="81"/>
        <v/>
      </c>
      <c r="N102" s="131">
        <f t="shared" ref="N102:N124" si="83">ROUND(P101*$O$2/365*Q102,0)</f>
        <v>0</v>
      </c>
      <c r="O102" s="131">
        <f t="shared" si="53"/>
        <v>0</v>
      </c>
      <c r="P102" s="131">
        <f t="shared" si="59"/>
        <v>0</v>
      </c>
      <c r="Q102" s="120">
        <f t="shared" si="70"/>
        <v>28</v>
      </c>
      <c r="R102" s="120">
        <f t="shared" si="71"/>
        <v>2</v>
      </c>
      <c r="S102" s="119"/>
      <c r="T102" s="121">
        <f t="shared" si="72"/>
        <v>0</v>
      </c>
      <c r="U102" s="121">
        <f t="shared" si="73"/>
        <v>0</v>
      </c>
      <c r="W102" s="117">
        <v>98</v>
      </c>
      <c r="X102" s="130" t="str">
        <f t="shared" si="82"/>
        <v/>
      </c>
      <c r="Y102" s="131">
        <f t="shared" ref="Y102:Y124" si="84">ROUND(AA101*$Z$2/365*AB102,0)</f>
        <v>0</v>
      </c>
      <c r="Z102" s="131">
        <f t="shared" si="55"/>
        <v>0</v>
      </c>
      <c r="AA102" s="131">
        <f t="shared" si="61"/>
        <v>0</v>
      </c>
      <c r="AB102" s="120">
        <f t="shared" si="74"/>
        <v>28</v>
      </c>
      <c r="AC102" s="120">
        <f t="shared" si="75"/>
        <v>2</v>
      </c>
      <c r="AD102" s="119"/>
      <c r="AE102" s="121">
        <f t="shared" si="76"/>
        <v>0</v>
      </c>
      <c r="AF102" s="121">
        <f t="shared" si="77"/>
        <v>0</v>
      </c>
      <c r="AG102" s="117">
        <f t="shared" si="80"/>
        <v>98</v>
      </c>
      <c r="AH102" s="171">
        <f t="shared" si="62"/>
        <v>6276</v>
      </c>
      <c r="AI102" s="171">
        <f t="shared" si="63"/>
        <v>165042</v>
      </c>
      <c r="AJ102" s="171">
        <f t="shared" si="64"/>
        <v>1815568</v>
      </c>
    </row>
    <row r="103" spans="1:36">
      <c r="A103" s="117">
        <v>99</v>
      </c>
      <c r="B103" s="130">
        <f t="shared" si="65"/>
        <v>82521</v>
      </c>
      <c r="C103" s="131">
        <f t="shared" si="56"/>
        <v>3084</v>
      </c>
      <c r="D103" s="131">
        <f t="shared" si="51"/>
        <v>85605</v>
      </c>
      <c r="E103" s="131">
        <f t="shared" si="57"/>
        <v>1733047</v>
      </c>
      <c r="F103" s="120">
        <f t="shared" si="66"/>
        <v>31</v>
      </c>
      <c r="G103" s="120">
        <f t="shared" si="67"/>
        <v>3</v>
      </c>
      <c r="H103" s="119"/>
      <c r="I103" s="121">
        <f t="shared" si="68"/>
        <v>9360</v>
      </c>
      <c r="J103" s="121">
        <f t="shared" si="69"/>
        <v>247563</v>
      </c>
      <c r="L103" s="117">
        <v>99</v>
      </c>
      <c r="M103" s="130" t="str">
        <f t="shared" si="81"/>
        <v/>
      </c>
      <c r="N103" s="131">
        <f t="shared" si="83"/>
        <v>0</v>
      </c>
      <c r="O103" s="131">
        <f t="shared" si="53"/>
        <v>0</v>
      </c>
      <c r="P103" s="131">
        <f t="shared" si="59"/>
        <v>0</v>
      </c>
      <c r="Q103" s="120">
        <f t="shared" si="70"/>
        <v>31</v>
      </c>
      <c r="R103" s="120">
        <f t="shared" si="71"/>
        <v>3</v>
      </c>
      <c r="S103" s="119"/>
      <c r="T103" s="121">
        <f t="shared" si="72"/>
        <v>0</v>
      </c>
      <c r="U103" s="121">
        <f t="shared" si="73"/>
        <v>0</v>
      </c>
      <c r="W103" s="117">
        <v>99</v>
      </c>
      <c r="X103" s="130" t="str">
        <f t="shared" si="82"/>
        <v/>
      </c>
      <c r="Y103" s="131">
        <f t="shared" si="84"/>
        <v>0</v>
      </c>
      <c r="Z103" s="131">
        <f t="shared" si="55"/>
        <v>0</v>
      </c>
      <c r="AA103" s="131">
        <f t="shared" si="61"/>
        <v>0</v>
      </c>
      <c r="AB103" s="120">
        <f t="shared" si="74"/>
        <v>31</v>
      </c>
      <c r="AC103" s="120">
        <f t="shared" si="75"/>
        <v>3</v>
      </c>
      <c r="AD103" s="119"/>
      <c r="AE103" s="121">
        <f t="shared" si="76"/>
        <v>0</v>
      </c>
      <c r="AF103" s="121">
        <f t="shared" si="77"/>
        <v>0</v>
      </c>
      <c r="AG103" s="117">
        <f t="shared" si="80"/>
        <v>99</v>
      </c>
      <c r="AH103" s="171">
        <f t="shared" si="62"/>
        <v>9360</v>
      </c>
      <c r="AI103" s="171">
        <f t="shared" si="63"/>
        <v>247563</v>
      </c>
      <c r="AJ103" s="171">
        <f t="shared" si="64"/>
        <v>1733047</v>
      </c>
    </row>
    <row r="104" spans="1:36">
      <c r="A104" s="117">
        <v>100</v>
      </c>
      <c r="B104" s="130">
        <f t="shared" si="65"/>
        <v>82521</v>
      </c>
      <c r="C104" s="131">
        <f t="shared" si="56"/>
        <v>2849</v>
      </c>
      <c r="D104" s="131">
        <f t="shared" si="51"/>
        <v>85370</v>
      </c>
      <c r="E104" s="131">
        <f t="shared" si="57"/>
        <v>1650526</v>
      </c>
      <c r="F104" s="120">
        <f t="shared" si="66"/>
        <v>30</v>
      </c>
      <c r="G104" s="120">
        <f t="shared" si="67"/>
        <v>4</v>
      </c>
      <c r="H104" s="119"/>
      <c r="I104" s="121">
        <f t="shared" si="68"/>
        <v>12209</v>
      </c>
      <c r="J104" s="121">
        <f t="shared" si="69"/>
        <v>330084</v>
      </c>
      <c r="L104" s="117">
        <v>100</v>
      </c>
      <c r="M104" s="130" t="str">
        <f t="shared" si="81"/>
        <v/>
      </c>
      <c r="N104" s="131">
        <f t="shared" si="83"/>
        <v>0</v>
      </c>
      <c r="O104" s="131">
        <f t="shared" si="53"/>
        <v>0</v>
      </c>
      <c r="P104" s="131">
        <f t="shared" si="59"/>
        <v>0</v>
      </c>
      <c r="Q104" s="120">
        <f t="shared" si="70"/>
        <v>30</v>
      </c>
      <c r="R104" s="120">
        <f t="shared" si="71"/>
        <v>4</v>
      </c>
      <c r="S104" s="119"/>
      <c r="T104" s="121">
        <f t="shared" si="72"/>
        <v>0</v>
      </c>
      <c r="U104" s="121">
        <f t="shared" si="73"/>
        <v>0</v>
      </c>
      <c r="W104" s="117">
        <v>100</v>
      </c>
      <c r="X104" s="130" t="str">
        <f t="shared" si="82"/>
        <v/>
      </c>
      <c r="Y104" s="131">
        <f t="shared" si="84"/>
        <v>0</v>
      </c>
      <c r="Z104" s="131">
        <f t="shared" si="55"/>
        <v>0</v>
      </c>
      <c r="AA104" s="131">
        <f t="shared" si="61"/>
        <v>0</v>
      </c>
      <c r="AB104" s="120">
        <f t="shared" si="74"/>
        <v>30</v>
      </c>
      <c r="AC104" s="120">
        <f t="shared" si="75"/>
        <v>4</v>
      </c>
      <c r="AD104" s="119"/>
      <c r="AE104" s="121">
        <f t="shared" si="76"/>
        <v>0</v>
      </c>
      <c r="AF104" s="121">
        <f t="shared" si="77"/>
        <v>0</v>
      </c>
      <c r="AG104" s="117">
        <f t="shared" si="80"/>
        <v>100</v>
      </c>
      <c r="AH104" s="171">
        <f t="shared" si="62"/>
        <v>12209</v>
      </c>
      <c r="AI104" s="171">
        <f t="shared" si="63"/>
        <v>330084</v>
      </c>
      <c r="AJ104" s="171">
        <f t="shared" si="64"/>
        <v>1650526</v>
      </c>
    </row>
    <row r="105" spans="1:36">
      <c r="A105" s="117">
        <v>101</v>
      </c>
      <c r="B105" s="130">
        <f t="shared" si="65"/>
        <v>82521</v>
      </c>
      <c r="C105" s="131">
        <f t="shared" si="56"/>
        <v>2804</v>
      </c>
      <c r="D105" s="131">
        <f t="shared" si="51"/>
        <v>85325</v>
      </c>
      <c r="E105" s="131">
        <f t="shared" si="57"/>
        <v>1568005</v>
      </c>
      <c r="F105" s="120">
        <f t="shared" si="66"/>
        <v>31</v>
      </c>
      <c r="G105" s="120">
        <f t="shared" si="67"/>
        <v>5</v>
      </c>
      <c r="H105" s="119"/>
      <c r="I105" s="121">
        <f t="shared" si="68"/>
        <v>15013</v>
      </c>
      <c r="J105" s="121">
        <f t="shared" si="69"/>
        <v>412605</v>
      </c>
      <c r="L105" s="117">
        <v>101</v>
      </c>
      <c r="M105" s="130" t="str">
        <f t="shared" si="81"/>
        <v/>
      </c>
      <c r="N105" s="131">
        <f t="shared" si="83"/>
        <v>0</v>
      </c>
      <c r="O105" s="131">
        <f t="shared" si="53"/>
        <v>0</v>
      </c>
      <c r="P105" s="131">
        <f t="shared" si="59"/>
        <v>0</v>
      </c>
      <c r="Q105" s="120">
        <f t="shared" si="70"/>
        <v>31</v>
      </c>
      <c r="R105" s="120">
        <f t="shared" si="71"/>
        <v>5</v>
      </c>
      <c r="S105" s="119"/>
      <c r="T105" s="121">
        <f t="shared" si="72"/>
        <v>0</v>
      </c>
      <c r="U105" s="121">
        <f t="shared" si="73"/>
        <v>0</v>
      </c>
      <c r="W105" s="117">
        <v>101</v>
      </c>
      <c r="X105" s="130" t="str">
        <f t="shared" si="82"/>
        <v/>
      </c>
      <c r="Y105" s="131">
        <f t="shared" si="84"/>
        <v>0</v>
      </c>
      <c r="Z105" s="131">
        <f t="shared" si="55"/>
        <v>0</v>
      </c>
      <c r="AA105" s="131">
        <f t="shared" si="61"/>
        <v>0</v>
      </c>
      <c r="AB105" s="120">
        <f t="shared" si="74"/>
        <v>31</v>
      </c>
      <c r="AC105" s="120">
        <f t="shared" si="75"/>
        <v>5</v>
      </c>
      <c r="AD105" s="119"/>
      <c r="AE105" s="121">
        <f t="shared" si="76"/>
        <v>0</v>
      </c>
      <c r="AF105" s="121">
        <f t="shared" si="77"/>
        <v>0</v>
      </c>
      <c r="AG105" s="117">
        <f t="shared" si="80"/>
        <v>101</v>
      </c>
      <c r="AH105" s="171">
        <f t="shared" si="62"/>
        <v>15013</v>
      </c>
      <c r="AI105" s="171">
        <f t="shared" si="63"/>
        <v>412605</v>
      </c>
      <c r="AJ105" s="171">
        <f t="shared" si="64"/>
        <v>1568005</v>
      </c>
    </row>
    <row r="106" spans="1:36">
      <c r="A106" s="117">
        <v>102</v>
      </c>
      <c r="B106" s="130">
        <f t="shared" si="65"/>
        <v>82521</v>
      </c>
      <c r="C106" s="131">
        <f t="shared" si="56"/>
        <v>2578</v>
      </c>
      <c r="D106" s="131">
        <f t="shared" si="51"/>
        <v>85099</v>
      </c>
      <c r="E106" s="131">
        <f t="shared" si="57"/>
        <v>1485484</v>
      </c>
      <c r="F106" s="120">
        <f t="shared" si="66"/>
        <v>30</v>
      </c>
      <c r="G106" s="120">
        <f t="shared" si="67"/>
        <v>6</v>
      </c>
      <c r="H106" s="119"/>
      <c r="I106" s="121">
        <f t="shared" si="68"/>
        <v>17591</v>
      </c>
      <c r="J106" s="121">
        <f t="shared" si="69"/>
        <v>495126</v>
      </c>
      <c r="L106" s="117">
        <v>102</v>
      </c>
      <c r="M106" s="130" t="str">
        <f t="shared" si="81"/>
        <v/>
      </c>
      <c r="N106" s="131">
        <f t="shared" si="83"/>
        <v>0</v>
      </c>
      <c r="O106" s="131">
        <f t="shared" si="53"/>
        <v>0</v>
      </c>
      <c r="P106" s="131">
        <f t="shared" si="59"/>
        <v>0</v>
      </c>
      <c r="Q106" s="120">
        <f t="shared" si="70"/>
        <v>30</v>
      </c>
      <c r="R106" s="120">
        <f t="shared" si="71"/>
        <v>6</v>
      </c>
      <c r="S106" s="119"/>
      <c r="T106" s="121">
        <f t="shared" si="72"/>
        <v>0</v>
      </c>
      <c r="U106" s="121">
        <f t="shared" si="73"/>
        <v>0</v>
      </c>
      <c r="W106" s="117">
        <v>102</v>
      </c>
      <c r="X106" s="130" t="str">
        <f t="shared" si="82"/>
        <v/>
      </c>
      <c r="Y106" s="131">
        <f t="shared" si="84"/>
        <v>0</v>
      </c>
      <c r="Z106" s="131">
        <f t="shared" si="55"/>
        <v>0</v>
      </c>
      <c r="AA106" s="131">
        <f t="shared" si="61"/>
        <v>0</v>
      </c>
      <c r="AB106" s="120">
        <f t="shared" si="74"/>
        <v>30</v>
      </c>
      <c r="AC106" s="120">
        <f t="shared" si="75"/>
        <v>6</v>
      </c>
      <c r="AD106" s="119"/>
      <c r="AE106" s="121">
        <f t="shared" si="76"/>
        <v>0</v>
      </c>
      <c r="AF106" s="121">
        <f t="shared" si="77"/>
        <v>0</v>
      </c>
      <c r="AG106" s="117">
        <f t="shared" si="80"/>
        <v>102</v>
      </c>
      <c r="AH106" s="171">
        <f t="shared" si="62"/>
        <v>17591</v>
      </c>
      <c r="AI106" s="171">
        <f t="shared" si="63"/>
        <v>495126</v>
      </c>
      <c r="AJ106" s="171">
        <f t="shared" si="64"/>
        <v>1485484</v>
      </c>
    </row>
    <row r="107" spans="1:36">
      <c r="A107" s="117">
        <v>103</v>
      </c>
      <c r="B107" s="130">
        <f t="shared" si="65"/>
        <v>82521</v>
      </c>
      <c r="C107" s="131">
        <f t="shared" si="56"/>
        <v>2523</v>
      </c>
      <c r="D107" s="131">
        <f t="shared" si="51"/>
        <v>85044</v>
      </c>
      <c r="E107" s="131">
        <f t="shared" si="57"/>
        <v>1402963</v>
      </c>
      <c r="F107" s="120">
        <f t="shared" si="66"/>
        <v>31</v>
      </c>
      <c r="G107" s="120">
        <f t="shared" si="67"/>
        <v>7</v>
      </c>
      <c r="H107" s="119"/>
      <c r="I107" s="121">
        <f t="shared" si="68"/>
        <v>20114</v>
      </c>
      <c r="J107" s="121">
        <f t="shared" si="69"/>
        <v>577647</v>
      </c>
      <c r="L107" s="117">
        <v>103</v>
      </c>
      <c r="M107" s="130" t="str">
        <f t="shared" si="81"/>
        <v/>
      </c>
      <c r="N107" s="131">
        <f t="shared" si="83"/>
        <v>0</v>
      </c>
      <c r="O107" s="131">
        <f t="shared" si="53"/>
        <v>0</v>
      </c>
      <c r="P107" s="131">
        <f t="shared" si="59"/>
        <v>0</v>
      </c>
      <c r="Q107" s="120">
        <f t="shared" si="70"/>
        <v>31</v>
      </c>
      <c r="R107" s="120">
        <f t="shared" si="71"/>
        <v>7</v>
      </c>
      <c r="S107" s="119"/>
      <c r="T107" s="121">
        <f t="shared" si="72"/>
        <v>0</v>
      </c>
      <c r="U107" s="121">
        <f t="shared" si="73"/>
        <v>0</v>
      </c>
      <c r="W107" s="117">
        <v>103</v>
      </c>
      <c r="X107" s="130" t="str">
        <f t="shared" si="82"/>
        <v/>
      </c>
      <c r="Y107" s="131">
        <f t="shared" si="84"/>
        <v>0</v>
      </c>
      <c r="Z107" s="131">
        <f t="shared" si="55"/>
        <v>0</v>
      </c>
      <c r="AA107" s="131">
        <f t="shared" si="61"/>
        <v>0</v>
      </c>
      <c r="AB107" s="120">
        <f t="shared" si="74"/>
        <v>31</v>
      </c>
      <c r="AC107" s="120">
        <f t="shared" si="75"/>
        <v>7</v>
      </c>
      <c r="AD107" s="119"/>
      <c r="AE107" s="121">
        <f t="shared" si="76"/>
        <v>0</v>
      </c>
      <c r="AF107" s="121">
        <f t="shared" si="77"/>
        <v>0</v>
      </c>
      <c r="AG107" s="117">
        <f t="shared" si="80"/>
        <v>103</v>
      </c>
      <c r="AH107" s="171">
        <f t="shared" si="62"/>
        <v>20114</v>
      </c>
      <c r="AI107" s="171">
        <f t="shared" si="63"/>
        <v>577647</v>
      </c>
      <c r="AJ107" s="171">
        <f t="shared" si="64"/>
        <v>1402963</v>
      </c>
    </row>
    <row r="108" spans="1:36">
      <c r="A108" s="117">
        <v>104</v>
      </c>
      <c r="B108" s="130">
        <f t="shared" si="65"/>
        <v>82521</v>
      </c>
      <c r="C108" s="131">
        <f t="shared" si="56"/>
        <v>2383</v>
      </c>
      <c r="D108" s="131">
        <f t="shared" si="51"/>
        <v>84904</v>
      </c>
      <c r="E108" s="131">
        <f t="shared" si="57"/>
        <v>1320442</v>
      </c>
      <c r="F108" s="120">
        <f t="shared" si="66"/>
        <v>31</v>
      </c>
      <c r="G108" s="120">
        <f t="shared" si="67"/>
        <v>8</v>
      </c>
      <c r="H108" s="119"/>
      <c r="I108" s="121">
        <f t="shared" si="68"/>
        <v>22497</v>
      </c>
      <c r="J108" s="121">
        <f t="shared" si="69"/>
        <v>660168</v>
      </c>
      <c r="L108" s="117">
        <v>104</v>
      </c>
      <c r="M108" s="130" t="str">
        <f t="shared" si="81"/>
        <v/>
      </c>
      <c r="N108" s="131">
        <f t="shared" si="83"/>
        <v>0</v>
      </c>
      <c r="O108" s="131">
        <f t="shared" si="53"/>
        <v>0</v>
      </c>
      <c r="P108" s="131">
        <f t="shared" si="59"/>
        <v>0</v>
      </c>
      <c r="Q108" s="120">
        <f t="shared" si="70"/>
        <v>31</v>
      </c>
      <c r="R108" s="120">
        <f t="shared" si="71"/>
        <v>8</v>
      </c>
      <c r="S108" s="119"/>
      <c r="T108" s="121">
        <f t="shared" si="72"/>
        <v>0</v>
      </c>
      <c r="U108" s="121">
        <f t="shared" si="73"/>
        <v>0</v>
      </c>
      <c r="W108" s="117">
        <v>104</v>
      </c>
      <c r="X108" s="130" t="str">
        <f t="shared" si="82"/>
        <v/>
      </c>
      <c r="Y108" s="131">
        <f t="shared" si="84"/>
        <v>0</v>
      </c>
      <c r="Z108" s="131">
        <f t="shared" si="55"/>
        <v>0</v>
      </c>
      <c r="AA108" s="131">
        <f t="shared" si="61"/>
        <v>0</v>
      </c>
      <c r="AB108" s="120">
        <f t="shared" si="74"/>
        <v>31</v>
      </c>
      <c r="AC108" s="120">
        <f t="shared" si="75"/>
        <v>8</v>
      </c>
      <c r="AD108" s="119"/>
      <c r="AE108" s="121">
        <f t="shared" si="76"/>
        <v>0</v>
      </c>
      <c r="AF108" s="121">
        <f t="shared" si="77"/>
        <v>0</v>
      </c>
      <c r="AG108" s="117">
        <f t="shared" si="80"/>
        <v>104</v>
      </c>
      <c r="AH108" s="171">
        <f t="shared" si="62"/>
        <v>22497</v>
      </c>
      <c r="AI108" s="171">
        <f t="shared" si="63"/>
        <v>660168</v>
      </c>
      <c r="AJ108" s="171">
        <f t="shared" si="64"/>
        <v>1320442</v>
      </c>
    </row>
    <row r="109" spans="1:36">
      <c r="A109" s="117">
        <v>105</v>
      </c>
      <c r="B109" s="130">
        <f t="shared" si="65"/>
        <v>82521</v>
      </c>
      <c r="C109" s="131">
        <f t="shared" si="56"/>
        <v>2171</v>
      </c>
      <c r="D109" s="131">
        <f t="shared" si="51"/>
        <v>84692</v>
      </c>
      <c r="E109" s="131">
        <f t="shared" si="57"/>
        <v>1237921</v>
      </c>
      <c r="F109" s="120">
        <f t="shared" si="66"/>
        <v>30</v>
      </c>
      <c r="G109" s="120">
        <f t="shared" si="67"/>
        <v>9</v>
      </c>
      <c r="H109" s="119"/>
      <c r="I109" s="121">
        <f t="shared" si="68"/>
        <v>24668</v>
      </c>
      <c r="J109" s="121">
        <f t="shared" si="69"/>
        <v>742689</v>
      </c>
      <c r="L109" s="117">
        <v>105</v>
      </c>
      <c r="M109" s="130" t="str">
        <f t="shared" si="81"/>
        <v/>
      </c>
      <c r="N109" s="131">
        <f t="shared" si="83"/>
        <v>0</v>
      </c>
      <c r="O109" s="131">
        <f t="shared" si="53"/>
        <v>0</v>
      </c>
      <c r="P109" s="131">
        <f t="shared" si="59"/>
        <v>0</v>
      </c>
      <c r="Q109" s="120">
        <f t="shared" si="70"/>
        <v>30</v>
      </c>
      <c r="R109" s="120">
        <f t="shared" si="71"/>
        <v>9</v>
      </c>
      <c r="S109" s="119"/>
      <c r="T109" s="121">
        <f t="shared" si="72"/>
        <v>0</v>
      </c>
      <c r="U109" s="121">
        <f t="shared" si="73"/>
        <v>0</v>
      </c>
      <c r="W109" s="117">
        <v>105</v>
      </c>
      <c r="X109" s="130" t="str">
        <f t="shared" si="82"/>
        <v/>
      </c>
      <c r="Y109" s="131">
        <f t="shared" si="84"/>
        <v>0</v>
      </c>
      <c r="Z109" s="131">
        <f t="shared" si="55"/>
        <v>0</v>
      </c>
      <c r="AA109" s="131">
        <f t="shared" si="61"/>
        <v>0</v>
      </c>
      <c r="AB109" s="120">
        <f t="shared" si="74"/>
        <v>30</v>
      </c>
      <c r="AC109" s="120">
        <f t="shared" si="75"/>
        <v>9</v>
      </c>
      <c r="AD109" s="119"/>
      <c r="AE109" s="121">
        <f t="shared" si="76"/>
        <v>0</v>
      </c>
      <c r="AF109" s="121">
        <f t="shared" si="77"/>
        <v>0</v>
      </c>
      <c r="AG109" s="117">
        <f t="shared" si="80"/>
        <v>105</v>
      </c>
      <c r="AH109" s="171">
        <f t="shared" si="62"/>
        <v>24668</v>
      </c>
      <c r="AI109" s="171">
        <f t="shared" si="63"/>
        <v>742689</v>
      </c>
      <c r="AJ109" s="171">
        <f t="shared" si="64"/>
        <v>1237921</v>
      </c>
    </row>
    <row r="110" spans="1:36">
      <c r="A110" s="117">
        <v>106</v>
      </c>
      <c r="B110" s="130">
        <f t="shared" si="65"/>
        <v>82521</v>
      </c>
      <c r="C110" s="131">
        <f t="shared" si="56"/>
        <v>2103</v>
      </c>
      <c r="D110" s="131">
        <f t="shared" si="51"/>
        <v>84624</v>
      </c>
      <c r="E110" s="131">
        <f t="shared" si="57"/>
        <v>1155400</v>
      </c>
      <c r="F110" s="120">
        <f t="shared" si="66"/>
        <v>31</v>
      </c>
      <c r="G110" s="120">
        <f t="shared" si="67"/>
        <v>10</v>
      </c>
      <c r="H110" s="119"/>
      <c r="I110" s="121">
        <f t="shared" si="68"/>
        <v>26771</v>
      </c>
      <c r="J110" s="121">
        <f t="shared" si="69"/>
        <v>825210</v>
      </c>
      <c r="L110" s="117">
        <v>106</v>
      </c>
      <c r="M110" s="130" t="str">
        <f t="shared" si="81"/>
        <v/>
      </c>
      <c r="N110" s="131">
        <f t="shared" si="83"/>
        <v>0</v>
      </c>
      <c r="O110" s="131">
        <f t="shared" si="53"/>
        <v>0</v>
      </c>
      <c r="P110" s="131">
        <f t="shared" si="59"/>
        <v>0</v>
      </c>
      <c r="Q110" s="120">
        <f t="shared" si="70"/>
        <v>31</v>
      </c>
      <c r="R110" s="120">
        <f t="shared" si="71"/>
        <v>10</v>
      </c>
      <c r="S110" s="119"/>
      <c r="T110" s="121">
        <f t="shared" si="72"/>
        <v>0</v>
      </c>
      <c r="U110" s="121">
        <f t="shared" si="73"/>
        <v>0</v>
      </c>
      <c r="W110" s="117">
        <v>106</v>
      </c>
      <c r="X110" s="130" t="str">
        <f t="shared" si="82"/>
        <v/>
      </c>
      <c r="Y110" s="131">
        <f t="shared" si="84"/>
        <v>0</v>
      </c>
      <c r="Z110" s="131">
        <f t="shared" si="55"/>
        <v>0</v>
      </c>
      <c r="AA110" s="131">
        <f t="shared" si="61"/>
        <v>0</v>
      </c>
      <c r="AB110" s="120">
        <f t="shared" si="74"/>
        <v>31</v>
      </c>
      <c r="AC110" s="120">
        <f t="shared" si="75"/>
        <v>10</v>
      </c>
      <c r="AD110" s="119"/>
      <c r="AE110" s="121">
        <f t="shared" si="76"/>
        <v>0</v>
      </c>
      <c r="AF110" s="121">
        <f t="shared" si="77"/>
        <v>0</v>
      </c>
      <c r="AG110" s="117">
        <f t="shared" si="80"/>
        <v>106</v>
      </c>
      <c r="AH110" s="171">
        <f t="shared" si="62"/>
        <v>26771</v>
      </c>
      <c r="AI110" s="171">
        <f t="shared" si="63"/>
        <v>825210</v>
      </c>
      <c r="AJ110" s="171">
        <f t="shared" si="64"/>
        <v>1155400</v>
      </c>
    </row>
    <row r="111" spans="1:36">
      <c r="A111" s="117">
        <v>107</v>
      </c>
      <c r="B111" s="130">
        <f t="shared" si="65"/>
        <v>82521</v>
      </c>
      <c r="C111" s="131">
        <f t="shared" si="56"/>
        <v>1899</v>
      </c>
      <c r="D111" s="131">
        <f t="shared" si="51"/>
        <v>84420</v>
      </c>
      <c r="E111" s="131">
        <f t="shared" si="57"/>
        <v>1072879</v>
      </c>
      <c r="F111" s="120">
        <f t="shared" si="66"/>
        <v>30</v>
      </c>
      <c r="G111" s="120">
        <f t="shared" si="67"/>
        <v>11</v>
      </c>
      <c r="H111" s="119"/>
      <c r="I111" s="121">
        <f t="shared" si="68"/>
        <v>28670</v>
      </c>
      <c r="J111" s="121">
        <f t="shared" si="69"/>
        <v>907731</v>
      </c>
      <c r="L111" s="117">
        <v>107</v>
      </c>
      <c r="M111" s="130" t="str">
        <f t="shared" si="81"/>
        <v/>
      </c>
      <c r="N111" s="131">
        <f t="shared" si="83"/>
        <v>0</v>
      </c>
      <c r="O111" s="131">
        <f t="shared" si="53"/>
        <v>0</v>
      </c>
      <c r="P111" s="131">
        <f t="shared" si="59"/>
        <v>0</v>
      </c>
      <c r="Q111" s="120">
        <f t="shared" si="70"/>
        <v>30</v>
      </c>
      <c r="R111" s="120">
        <f t="shared" si="71"/>
        <v>11</v>
      </c>
      <c r="S111" s="119"/>
      <c r="T111" s="121">
        <f t="shared" si="72"/>
        <v>0</v>
      </c>
      <c r="U111" s="121">
        <f t="shared" si="73"/>
        <v>0</v>
      </c>
      <c r="W111" s="117">
        <v>107</v>
      </c>
      <c r="X111" s="130" t="str">
        <f t="shared" si="82"/>
        <v/>
      </c>
      <c r="Y111" s="131">
        <f t="shared" si="84"/>
        <v>0</v>
      </c>
      <c r="Z111" s="131">
        <f t="shared" si="55"/>
        <v>0</v>
      </c>
      <c r="AA111" s="131">
        <f t="shared" si="61"/>
        <v>0</v>
      </c>
      <c r="AB111" s="120">
        <f t="shared" si="74"/>
        <v>30</v>
      </c>
      <c r="AC111" s="120">
        <f t="shared" si="75"/>
        <v>11</v>
      </c>
      <c r="AD111" s="119"/>
      <c r="AE111" s="121">
        <f t="shared" si="76"/>
        <v>0</v>
      </c>
      <c r="AF111" s="121">
        <f t="shared" si="77"/>
        <v>0</v>
      </c>
      <c r="AG111" s="117">
        <f t="shared" si="80"/>
        <v>107</v>
      </c>
      <c r="AH111" s="171">
        <f t="shared" si="62"/>
        <v>28670</v>
      </c>
      <c r="AI111" s="171">
        <f t="shared" si="63"/>
        <v>907731</v>
      </c>
      <c r="AJ111" s="171">
        <f t="shared" si="64"/>
        <v>1072879</v>
      </c>
    </row>
    <row r="112" spans="1:36">
      <c r="A112" s="117">
        <v>108</v>
      </c>
      <c r="B112" s="130">
        <f t="shared" si="65"/>
        <v>82521</v>
      </c>
      <c r="C112" s="131">
        <f t="shared" si="56"/>
        <v>1822</v>
      </c>
      <c r="D112" s="131">
        <f t="shared" si="51"/>
        <v>84343</v>
      </c>
      <c r="E112" s="131">
        <f t="shared" si="57"/>
        <v>990358</v>
      </c>
      <c r="F112" s="120">
        <f t="shared" si="66"/>
        <v>31</v>
      </c>
      <c r="G112" s="120">
        <f t="shared" si="67"/>
        <v>12</v>
      </c>
      <c r="H112" s="119"/>
      <c r="I112" s="121">
        <f t="shared" si="68"/>
        <v>30492</v>
      </c>
      <c r="J112" s="121">
        <f t="shared" si="69"/>
        <v>990252</v>
      </c>
      <c r="L112" s="117">
        <v>108</v>
      </c>
      <c r="M112" s="130" t="str">
        <f t="shared" si="81"/>
        <v/>
      </c>
      <c r="N112" s="131">
        <f t="shared" si="83"/>
        <v>0</v>
      </c>
      <c r="O112" s="131">
        <f t="shared" si="53"/>
        <v>0</v>
      </c>
      <c r="P112" s="131">
        <f t="shared" si="59"/>
        <v>0</v>
      </c>
      <c r="Q112" s="120">
        <f t="shared" si="70"/>
        <v>31</v>
      </c>
      <c r="R112" s="120">
        <f t="shared" si="71"/>
        <v>12</v>
      </c>
      <c r="S112" s="119"/>
      <c r="T112" s="121">
        <f t="shared" si="72"/>
        <v>0</v>
      </c>
      <c r="U112" s="121">
        <f t="shared" si="73"/>
        <v>0</v>
      </c>
      <c r="W112" s="117">
        <v>108</v>
      </c>
      <c r="X112" s="130" t="str">
        <f t="shared" si="82"/>
        <v/>
      </c>
      <c r="Y112" s="131">
        <f t="shared" si="84"/>
        <v>0</v>
      </c>
      <c r="Z112" s="131">
        <f t="shared" si="55"/>
        <v>0</v>
      </c>
      <c r="AA112" s="131">
        <f t="shared" si="61"/>
        <v>0</v>
      </c>
      <c r="AB112" s="120">
        <f t="shared" si="74"/>
        <v>31</v>
      </c>
      <c r="AC112" s="120">
        <f t="shared" si="75"/>
        <v>12</v>
      </c>
      <c r="AD112" s="119"/>
      <c r="AE112" s="121">
        <f t="shared" si="76"/>
        <v>0</v>
      </c>
      <c r="AF112" s="121">
        <f t="shared" si="77"/>
        <v>0</v>
      </c>
      <c r="AG112" s="117">
        <f t="shared" si="80"/>
        <v>108</v>
      </c>
      <c r="AH112" s="171">
        <f t="shared" si="62"/>
        <v>30492</v>
      </c>
      <c r="AI112" s="171">
        <f t="shared" si="63"/>
        <v>990252</v>
      </c>
      <c r="AJ112" s="171">
        <f t="shared" si="64"/>
        <v>990358</v>
      </c>
    </row>
    <row r="113" spans="1:36">
      <c r="A113" s="117">
        <v>109</v>
      </c>
      <c r="B113" s="130">
        <f t="shared" si="65"/>
        <v>82521</v>
      </c>
      <c r="C113" s="131">
        <f t="shared" si="56"/>
        <v>1682</v>
      </c>
      <c r="D113" s="131">
        <f t="shared" si="51"/>
        <v>84203</v>
      </c>
      <c r="E113" s="131">
        <f t="shared" si="57"/>
        <v>907837</v>
      </c>
      <c r="F113" s="120">
        <f t="shared" si="66"/>
        <v>31</v>
      </c>
      <c r="G113" s="120">
        <f t="shared" si="67"/>
        <v>1</v>
      </c>
      <c r="H113" s="119"/>
      <c r="I113" s="121">
        <f t="shared" si="68"/>
        <v>1682</v>
      </c>
      <c r="J113" s="121">
        <f t="shared" si="69"/>
        <v>82521</v>
      </c>
      <c r="L113" s="117">
        <v>109</v>
      </c>
      <c r="M113" s="130" t="str">
        <f t="shared" si="81"/>
        <v/>
      </c>
      <c r="N113" s="131">
        <f t="shared" si="83"/>
        <v>0</v>
      </c>
      <c r="O113" s="131">
        <f t="shared" si="53"/>
        <v>0</v>
      </c>
      <c r="P113" s="131">
        <f t="shared" si="59"/>
        <v>0</v>
      </c>
      <c r="Q113" s="120">
        <f t="shared" si="70"/>
        <v>31</v>
      </c>
      <c r="R113" s="120">
        <f t="shared" si="71"/>
        <v>1</v>
      </c>
      <c r="S113" s="119"/>
      <c r="T113" s="121">
        <f t="shared" si="72"/>
        <v>0</v>
      </c>
      <c r="U113" s="121" t="str">
        <f t="shared" si="73"/>
        <v/>
      </c>
      <c r="W113" s="117">
        <v>109</v>
      </c>
      <c r="X113" s="130" t="str">
        <f t="shared" si="82"/>
        <v/>
      </c>
      <c r="Y113" s="131">
        <f t="shared" si="84"/>
        <v>0</v>
      </c>
      <c r="Z113" s="131">
        <f t="shared" si="55"/>
        <v>0</v>
      </c>
      <c r="AA113" s="131">
        <f t="shared" si="61"/>
        <v>0</v>
      </c>
      <c r="AB113" s="120">
        <f t="shared" si="74"/>
        <v>31</v>
      </c>
      <c r="AC113" s="120">
        <f t="shared" si="75"/>
        <v>1</v>
      </c>
      <c r="AD113" s="119"/>
      <c r="AE113" s="121">
        <f t="shared" si="76"/>
        <v>0</v>
      </c>
      <c r="AF113" s="121" t="str">
        <f t="shared" si="77"/>
        <v/>
      </c>
      <c r="AG113" s="117">
        <f t="shared" si="80"/>
        <v>109</v>
      </c>
      <c r="AH113" s="171">
        <f t="shared" si="62"/>
        <v>1682</v>
      </c>
      <c r="AI113" s="171">
        <f t="shared" si="63"/>
        <v>82521</v>
      </c>
      <c r="AJ113" s="171">
        <f t="shared" si="64"/>
        <v>907837</v>
      </c>
    </row>
    <row r="114" spans="1:36">
      <c r="A114" s="117">
        <v>110</v>
      </c>
      <c r="B114" s="130">
        <f t="shared" si="65"/>
        <v>82521</v>
      </c>
      <c r="C114" s="131">
        <f t="shared" si="56"/>
        <v>1393</v>
      </c>
      <c r="D114" s="131">
        <f t="shared" si="51"/>
        <v>83914</v>
      </c>
      <c r="E114" s="131">
        <f t="shared" si="57"/>
        <v>825316</v>
      </c>
      <c r="F114" s="120">
        <f t="shared" si="66"/>
        <v>28</v>
      </c>
      <c r="G114" s="120">
        <f t="shared" si="67"/>
        <v>2</v>
      </c>
      <c r="H114" s="119"/>
      <c r="I114" s="121">
        <f t="shared" si="68"/>
        <v>3075</v>
      </c>
      <c r="J114" s="121">
        <f t="shared" si="69"/>
        <v>165042</v>
      </c>
      <c r="L114" s="117">
        <v>110</v>
      </c>
      <c r="M114" s="130" t="str">
        <f t="shared" si="81"/>
        <v/>
      </c>
      <c r="N114" s="131">
        <f t="shared" si="83"/>
        <v>0</v>
      </c>
      <c r="O114" s="131">
        <f t="shared" si="53"/>
        <v>0</v>
      </c>
      <c r="P114" s="131">
        <f t="shared" si="59"/>
        <v>0</v>
      </c>
      <c r="Q114" s="120">
        <f t="shared" si="70"/>
        <v>28</v>
      </c>
      <c r="R114" s="120">
        <f t="shared" si="71"/>
        <v>2</v>
      </c>
      <c r="S114" s="119"/>
      <c r="T114" s="121">
        <f t="shared" si="72"/>
        <v>0</v>
      </c>
      <c r="U114" s="121">
        <f t="shared" si="73"/>
        <v>0</v>
      </c>
      <c r="W114" s="117">
        <v>110</v>
      </c>
      <c r="X114" s="130" t="str">
        <f t="shared" si="82"/>
        <v/>
      </c>
      <c r="Y114" s="131">
        <f t="shared" si="84"/>
        <v>0</v>
      </c>
      <c r="Z114" s="131">
        <f t="shared" si="55"/>
        <v>0</v>
      </c>
      <c r="AA114" s="131">
        <f t="shared" si="61"/>
        <v>0</v>
      </c>
      <c r="AB114" s="120">
        <f t="shared" si="74"/>
        <v>28</v>
      </c>
      <c r="AC114" s="120">
        <f t="shared" si="75"/>
        <v>2</v>
      </c>
      <c r="AD114" s="119"/>
      <c r="AE114" s="121">
        <f t="shared" si="76"/>
        <v>0</v>
      </c>
      <c r="AF114" s="121">
        <f t="shared" si="77"/>
        <v>0</v>
      </c>
      <c r="AG114" s="117">
        <f t="shared" si="80"/>
        <v>110</v>
      </c>
      <c r="AH114" s="171">
        <f t="shared" si="62"/>
        <v>3075</v>
      </c>
      <c r="AI114" s="171">
        <f t="shared" si="63"/>
        <v>165042</v>
      </c>
      <c r="AJ114" s="171">
        <f t="shared" si="64"/>
        <v>825316</v>
      </c>
    </row>
    <row r="115" spans="1:36">
      <c r="A115" s="117">
        <v>111</v>
      </c>
      <c r="B115" s="130">
        <f t="shared" si="65"/>
        <v>82521</v>
      </c>
      <c r="C115" s="131">
        <f t="shared" si="56"/>
        <v>1402</v>
      </c>
      <c r="D115" s="131">
        <f t="shared" si="51"/>
        <v>83923</v>
      </c>
      <c r="E115" s="131">
        <f t="shared" si="57"/>
        <v>742795</v>
      </c>
      <c r="F115" s="120">
        <f t="shared" si="66"/>
        <v>31</v>
      </c>
      <c r="G115" s="120">
        <f t="shared" si="67"/>
        <v>3</v>
      </c>
      <c r="H115" s="119"/>
      <c r="I115" s="121">
        <f t="shared" si="68"/>
        <v>4477</v>
      </c>
      <c r="J115" s="121">
        <f t="shared" si="69"/>
        <v>247563</v>
      </c>
      <c r="L115" s="117">
        <v>111</v>
      </c>
      <c r="M115" s="130" t="str">
        <f t="shared" si="81"/>
        <v/>
      </c>
      <c r="N115" s="131">
        <f t="shared" si="83"/>
        <v>0</v>
      </c>
      <c r="O115" s="131">
        <f t="shared" si="53"/>
        <v>0</v>
      </c>
      <c r="P115" s="131">
        <f t="shared" si="59"/>
        <v>0</v>
      </c>
      <c r="Q115" s="120">
        <f t="shared" si="70"/>
        <v>31</v>
      </c>
      <c r="R115" s="120">
        <f t="shared" si="71"/>
        <v>3</v>
      </c>
      <c r="S115" s="119"/>
      <c r="T115" s="121">
        <f t="shared" si="72"/>
        <v>0</v>
      </c>
      <c r="U115" s="121">
        <f t="shared" si="73"/>
        <v>0</v>
      </c>
      <c r="W115" s="117">
        <v>111</v>
      </c>
      <c r="X115" s="130" t="str">
        <f t="shared" si="82"/>
        <v/>
      </c>
      <c r="Y115" s="131">
        <f t="shared" si="84"/>
        <v>0</v>
      </c>
      <c r="Z115" s="131">
        <f t="shared" si="55"/>
        <v>0</v>
      </c>
      <c r="AA115" s="131">
        <f t="shared" si="61"/>
        <v>0</v>
      </c>
      <c r="AB115" s="120">
        <f t="shared" si="74"/>
        <v>31</v>
      </c>
      <c r="AC115" s="120">
        <f t="shared" si="75"/>
        <v>3</v>
      </c>
      <c r="AD115" s="119"/>
      <c r="AE115" s="121">
        <f t="shared" si="76"/>
        <v>0</v>
      </c>
      <c r="AF115" s="121">
        <f t="shared" si="77"/>
        <v>0</v>
      </c>
      <c r="AG115" s="117">
        <f t="shared" si="80"/>
        <v>111</v>
      </c>
      <c r="AH115" s="171">
        <f t="shared" si="62"/>
        <v>4477</v>
      </c>
      <c r="AI115" s="171">
        <f t="shared" si="63"/>
        <v>247563</v>
      </c>
      <c r="AJ115" s="171">
        <f t="shared" si="64"/>
        <v>742795</v>
      </c>
    </row>
    <row r="116" spans="1:36">
      <c r="A116" s="117">
        <v>112</v>
      </c>
      <c r="B116" s="130">
        <f t="shared" si="65"/>
        <v>82521</v>
      </c>
      <c r="C116" s="131">
        <f t="shared" si="56"/>
        <v>1221</v>
      </c>
      <c r="D116" s="131">
        <f t="shared" si="51"/>
        <v>83742</v>
      </c>
      <c r="E116" s="131">
        <f t="shared" si="57"/>
        <v>660274</v>
      </c>
      <c r="F116" s="120">
        <f t="shared" si="66"/>
        <v>30</v>
      </c>
      <c r="G116" s="120">
        <f t="shared" si="67"/>
        <v>4</v>
      </c>
      <c r="H116" s="119"/>
      <c r="I116" s="121">
        <f t="shared" si="68"/>
        <v>5698</v>
      </c>
      <c r="J116" s="121">
        <f t="shared" si="69"/>
        <v>330084</v>
      </c>
      <c r="L116" s="117">
        <v>112</v>
      </c>
      <c r="M116" s="130" t="str">
        <f t="shared" si="81"/>
        <v/>
      </c>
      <c r="N116" s="131">
        <f t="shared" si="83"/>
        <v>0</v>
      </c>
      <c r="O116" s="131">
        <f t="shared" si="53"/>
        <v>0</v>
      </c>
      <c r="P116" s="131">
        <f t="shared" si="59"/>
        <v>0</v>
      </c>
      <c r="Q116" s="120">
        <f t="shared" si="70"/>
        <v>30</v>
      </c>
      <c r="R116" s="120">
        <f t="shared" si="71"/>
        <v>4</v>
      </c>
      <c r="S116" s="119"/>
      <c r="T116" s="121">
        <f t="shared" si="72"/>
        <v>0</v>
      </c>
      <c r="U116" s="121">
        <f t="shared" si="73"/>
        <v>0</v>
      </c>
      <c r="W116" s="117">
        <v>112</v>
      </c>
      <c r="X116" s="130" t="str">
        <f t="shared" si="82"/>
        <v/>
      </c>
      <c r="Y116" s="131">
        <f t="shared" si="84"/>
        <v>0</v>
      </c>
      <c r="Z116" s="131">
        <f t="shared" si="55"/>
        <v>0</v>
      </c>
      <c r="AA116" s="131">
        <f t="shared" si="61"/>
        <v>0</v>
      </c>
      <c r="AB116" s="120">
        <f t="shared" si="74"/>
        <v>30</v>
      </c>
      <c r="AC116" s="120">
        <f t="shared" si="75"/>
        <v>4</v>
      </c>
      <c r="AD116" s="119"/>
      <c r="AE116" s="121">
        <f t="shared" si="76"/>
        <v>0</v>
      </c>
      <c r="AF116" s="121">
        <f t="shared" si="77"/>
        <v>0</v>
      </c>
      <c r="AG116" s="117">
        <f t="shared" si="80"/>
        <v>112</v>
      </c>
      <c r="AH116" s="171">
        <f t="shared" si="62"/>
        <v>5698</v>
      </c>
      <c r="AI116" s="171">
        <f t="shared" si="63"/>
        <v>330084</v>
      </c>
      <c r="AJ116" s="171">
        <f t="shared" si="64"/>
        <v>660274</v>
      </c>
    </row>
    <row r="117" spans="1:36">
      <c r="A117" s="117">
        <v>113</v>
      </c>
      <c r="B117" s="130">
        <f t="shared" si="65"/>
        <v>82521</v>
      </c>
      <c r="C117" s="131">
        <f t="shared" si="56"/>
        <v>1122</v>
      </c>
      <c r="D117" s="131">
        <f t="shared" si="51"/>
        <v>83643</v>
      </c>
      <c r="E117" s="131">
        <f t="shared" si="57"/>
        <v>577753</v>
      </c>
      <c r="F117" s="120">
        <f t="shared" si="66"/>
        <v>31</v>
      </c>
      <c r="G117" s="120">
        <f t="shared" si="67"/>
        <v>5</v>
      </c>
      <c r="H117" s="119"/>
      <c r="I117" s="121">
        <f t="shared" si="68"/>
        <v>6820</v>
      </c>
      <c r="J117" s="121">
        <f t="shared" si="69"/>
        <v>412605</v>
      </c>
      <c r="L117" s="117">
        <v>113</v>
      </c>
      <c r="M117" s="130" t="str">
        <f t="shared" si="81"/>
        <v/>
      </c>
      <c r="N117" s="131">
        <f t="shared" si="83"/>
        <v>0</v>
      </c>
      <c r="O117" s="131">
        <f t="shared" si="53"/>
        <v>0</v>
      </c>
      <c r="P117" s="131">
        <f t="shared" si="59"/>
        <v>0</v>
      </c>
      <c r="Q117" s="120">
        <f t="shared" si="70"/>
        <v>31</v>
      </c>
      <c r="R117" s="120">
        <f t="shared" si="71"/>
        <v>5</v>
      </c>
      <c r="S117" s="119"/>
      <c r="T117" s="121">
        <f t="shared" si="72"/>
        <v>0</v>
      </c>
      <c r="U117" s="121">
        <f t="shared" si="73"/>
        <v>0</v>
      </c>
      <c r="W117" s="117">
        <v>113</v>
      </c>
      <c r="X117" s="130" t="str">
        <f t="shared" si="82"/>
        <v/>
      </c>
      <c r="Y117" s="131">
        <f t="shared" si="84"/>
        <v>0</v>
      </c>
      <c r="Z117" s="131">
        <f t="shared" si="55"/>
        <v>0</v>
      </c>
      <c r="AA117" s="131">
        <f t="shared" si="61"/>
        <v>0</v>
      </c>
      <c r="AB117" s="120">
        <f t="shared" si="74"/>
        <v>31</v>
      </c>
      <c r="AC117" s="120">
        <f t="shared" si="75"/>
        <v>5</v>
      </c>
      <c r="AD117" s="119"/>
      <c r="AE117" s="121">
        <f t="shared" si="76"/>
        <v>0</v>
      </c>
      <c r="AF117" s="121">
        <f t="shared" si="77"/>
        <v>0</v>
      </c>
      <c r="AG117" s="117">
        <f t="shared" si="80"/>
        <v>113</v>
      </c>
      <c r="AH117" s="171">
        <f t="shared" si="62"/>
        <v>6820</v>
      </c>
      <c r="AI117" s="171">
        <f t="shared" si="63"/>
        <v>412605</v>
      </c>
      <c r="AJ117" s="171">
        <f t="shared" si="64"/>
        <v>577753</v>
      </c>
    </row>
    <row r="118" spans="1:36">
      <c r="A118" s="117">
        <v>114</v>
      </c>
      <c r="B118" s="130">
        <f t="shared" si="65"/>
        <v>82521</v>
      </c>
      <c r="C118" s="131">
        <f t="shared" si="56"/>
        <v>950</v>
      </c>
      <c r="D118" s="131">
        <f t="shared" si="51"/>
        <v>83471</v>
      </c>
      <c r="E118" s="131">
        <f t="shared" si="57"/>
        <v>495232</v>
      </c>
      <c r="F118" s="120">
        <f t="shared" si="66"/>
        <v>30</v>
      </c>
      <c r="G118" s="120">
        <f t="shared" si="67"/>
        <v>6</v>
      </c>
      <c r="H118" s="119"/>
      <c r="I118" s="121">
        <f t="shared" si="68"/>
        <v>7770</v>
      </c>
      <c r="J118" s="121">
        <f t="shared" si="69"/>
        <v>495126</v>
      </c>
      <c r="L118" s="117">
        <v>114</v>
      </c>
      <c r="M118" s="130" t="str">
        <f t="shared" si="81"/>
        <v/>
      </c>
      <c r="N118" s="131">
        <f t="shared" si="83"/>
        <v>0</v>
      </c>
      <c r="O118" s="131">
        <f t="shared" si="53"/>
        <v>0</v>
      </c>
      <c r="P118" s="131">
        <f t="shared" si="59"/>
        <v>0</v>
      </c>
      <c r="Q118" s="120">
        <f t="shared" si="70"/>
        <v>30</v>
      </c>
      <c r="R118" s="120">
        <f t="shared" si="71"/>
        <v>6</v>
      </c>
      <c r="S118" s="119"/>
      <c r="T118" s="121">
        <f t="shared" si="72"/>
        <v>0</v>
      </c>
      <c r="U118" s="121">
        <f t="shared" si="73"/>
        <v>0</v>
      </c>
      <c r="W118" s="117">
        <v>114</v>
      </c>
      <c r="X118" s="130" t="str">
        <f t="shared" si="82"/>
        <v/>
      </c>
      <c r="Y118" s="131">
        <f t="shared" si="84"/>
        <v>0</v>
      </c>
      <c r="Z118" s="131">
        <f t="shared" si="55"/>
        <v>0</v>
      </c>
      <c r="AA118" s="131">
        <f t="shared" si="61"/>
        <v>0</v>
      </c>
      <c r="AB118" s="120">
        <f t="shared" si="74"/>
        <v>30</v>
      </c>
      <c r="AC118" s="120">
        <f t="shared" si="75"/>
        <v>6</v>
      </c>
      <c r="AD118" s="119"/>
      <c r="AE118" s="121">
        <f t="shared" si="76"/>
        <v>0</v>
      </c>
      <c r="AF118" s="121">
        <f t="shared" si="77"/>
        <v>0</v>
      </c>
      <c r="AG118" s="117">
        <f t="shared" si="80"/>
        <v>114</v>
      </c>
      <c r="AH118" s="171">
        <f t="shared" si="62"/>
        <v>7770</v>
      </c>
      <c r="AI118" s="171">
        <f t="shared" si="63"/>
        <v>495126</v>
      </c>
      <c r="AJ118" s="171">
        <f t="shared" si="64"/>
        <v>495232</v>
      </c>
    </row>
    <row r="119" spans="1:36">
      <c r="A119" s="117">
        <v>115</v>
      </c>
      <c r="B119" s="130">
        <f t="shared" si="65"/>
        <v>82521</v>
      </c>
      <c r="C119" s="131">
        <f t="shared" si="56"/>
        <v>841</v>
      </c>
      <c r="D119" s="131">
        <f t="shared" si="51"/>
        <v>83362</v>
      </c>
      <c r="E119" s="131">
        <f t="shared" si="57"/>
        <v>412711</v>
      </c>
      <c r="F119" s="120">
        <f t="shared" si="66"/>
        <v>31</v>
      </c>
      <c r="G119" s="120">
        <f t="shared" si="67"/>
        <v>7</v>
      </c>
      <c r="H119" s="119"/>
      <c r="I119" s="121">
        <f t="shared" si="68"/>
        <v>8611</v>
      </c>
      <c r="J119" s="121">
        <f t="shared" si="69"/>
        <v>577647</v>
      </c>
      <c r="L119" s="117">
        <v>115</v>
      </c>
      <c r="M119" s="130" t="str">
        <f t="shared" si="81"/>
        <v/>
      </c>
      <c r="N119" s="131">
        <f t="shared" si="83"/>
        <v>0</v>
      </c>
      <c r="O119" s="131">
        <f t="shared" si="53"/>
        <v>0</v>
      </c>
      <c r="P119" s="131">
        <f t="shared" si="59"/>
        <v>0</v>
      </c>
      <c r="Q119" s="120">
        <f t="shared" si="70"/>
        <v>31</v>
      </c>
      <c r="R119" s="120">
        <f t="shared" si="71"/>
        <v>7</v>
      </c>
      <c r="S119" s="119"/>
      <c r="T119" s="121">
        <f t="shared" si="72"/>
        <v>0</v>
      </c>
      <c r="U119" s="121">
        <f t="shared" si="73"/>
        <v>0</v>
      </c>
      <c r="W119" s="117">
        <v>115</v>
      </c>
      <c r="X119" s="130" t="str">
        <f t="shared" si="82"/>
        <v/>
      </c>
      <c r="Y119" s="131">
        <f t="shared" si="84"/>
        <v>0</v>
      </c>
      <c r="Z119" s="131">
        <f t="shared" si="55"/>
        <v>0</v>
      </c>
      <c r="AA119" s="131">
        <f t="shared" si="61"/>
        <v>0</v>
      </c>
      <c r="AB119" s="120">
        <f t="shared" si="74"/>
        <v>31</v>
      </c>
      <c r="AC119" s="120">
        <f t="shared" si="75"/>
        <v>7</v>
      </c>
      <c r="AD119" s="119"/>
      <c r="AE119" s="121">
        <f t="shared" si="76"/>
        <v>0</v>
      </c>
      <c r="AF119" s="121">
        <f t="shared" si="77"/>
        <v>0</v>
      </c>
      <c r="AG119" s="117">
        <f t="shared" si="80"/>
        <v>115</v>
      </c>
      <c r="AH119" s="171">
        <f t="shared" si="62"/>
        <v>8611</v>
      </c>
      <c r="AI119" s="171">
        <f t="shared" si="63"/>
        <v>577647</v>
      </c>
      <c r="AJ119" s="171">
        <f t="shared" si="64"/>
        <v>412711</v>
      </c>
    </row>
    <row r="120" spans="1:36">
      <c r="A120" s="117">
        <v>116</v>
      </c>
      <c r="B120" s="130">
        <f t="shared" si="65"/>
        <v>82521</v>
      </c>
      <c r="C120" s="131">
        <f t="shared" si="56"/>
        <v>701</v>
      </c>
      <c r="D120" s="131">
        <f t="shared" si="51"/>
        <v>83222</v>
      </c>
      <c r="E120" s="131">
        <f t="shared" si="57"/>
        <v>330190</v>
      </c>
      <c r="F120" s="120">
        <f t="shared" si="66"/>
        <v>31</v>
      </c>
      <c r="G120" s="120">
        <f t="shared" si="67"/>
        <v>8</v>
      </c>
      <c r="H120" s="119"/>
      <c r="I120" s="121">
        <f t="shared" si="68"/>
        <v>9312</v>
      </c>
      <c r="J120" s="121">
        <f t="shared" si="69"/>
        <v>660168</v>
      </c>
      <c r="L120" s="117">
        <v>116</v>
      </c>
      <c r="M120" s="130" t="str">
        <f t="shared" si="81"/>
        <v/>
      </c>
      <c r="N120" s="131">
        <f t="shared" si="83"/>
        <v>0</v>
      </c>
      <c r="O120" s="131">
        <f t="shared" si="53"/>
        <v>0</v>
      </c>
      <c r="P120" s="131">
        <f t="shared" si="59"/>
        <v>0</v>
      </c>
      <c r="Q120" s="120">
        <f t="shared" si="70"/>
        <v>31</v>
      </c>
      <c r="R120" s="120">
        <f t="shared" si="71"/>
        <v>8</v>
      </c>
      <c r="S120" s="119"/>
      <c r="T120" s="121">
        <f t="shared" si="72"/>
        <v>0</v>
      </c>
      <c r="U120" s="121">
        <f t="shared" si="73"/>
        <v>0</v>
      </c>
      <c r="W120" s="117">
        <v>116</v>
      </c>
      <c r="X120" s="130" t="str">
        <f t="shared" si="82"/>
        <v/>
      </c>
      <c r="Y120" s="131">
        <f t="shared" si="84"/>
        <v>0</v>
      </c>
      <c r="Z120" s="131">
        <f t="shared" si="55"/>
        <v>0</v>
      </c>
      <c r="AA120" s="131">
        <f t="shared" si="61"/>
        <v>0</v>
      </c>
      <c r="AB120" s="120">
        <f t="shared" si="74"/>
        <v>31</v>
      </c>
      <c r="AC120" s="120">
        <f t="shared" si="75"/>
        <v>8</v>
      </c>
      <c r="AD120" s="119"/>
      <c r="AE120" s="121">
        <f t="shared" si="76"/>
        <v>0</v>
      </c>
      <c r="AF120" s="121">
        <f t="shared" si="77"/>
        <v>0</v>
      </c>
      <c r="AG120" s="117">
        <f t="shared" si="80"/>
        <v>116</v>
      </c>
      <c r="AH120" s="171">
        <f t="shared" si="62"/>
        <v>9312</v>
      </c>
      <c r="AI120" s="171">
        <f t="shared" si="63"/>
        <v>660168</v>
      </c>
      <c r="AJ120" s="171">
        <f t="shared" si="64"/>
        <v>330190</v>
      </c>
    </row>
    <row r="121" spans="1:36">
      <c r="A121" s="117">
        <v>117</v>
      </c>
      <c r="B121" s="130">
        <f t="shared" si="65"/>
        <v>82521</v>
      </c>
      <c r="C121" s="131">
        <f t="shared" si="56"/>
        <v>543</v>
      </c>
      <c r="D121" s="131">
        <f t="shared" si="51"/>
        <v>83064</v>
      </c>
      <c r="E121" s="131">
        <f t="shared" si="57"/>
        <v>247669</v>
      </c>
      <c r="F121" s="120">
        <f t="shared" si="66"/>
        <v>30</v>
      </c>
      <c r="G121" s="120">
        <f t="shared" si="67"/>
        <v>9</v>
      </c>
      <c r="H121" s="119"/>
      <c r="I121" s="121">
        <f t="shared" si="68"/>
        <v>9855</v>
      </c>
      <c r="J121" s="121">
        <f t="shared" si="69"/>
        <v>742689</v>
      </c>
      <c r="L121" s="117">
        <v>117</v>
      </c>
      <c r="M121" s="130" t="str">
        <f t="shared" si="81"/>
        <v/>
      </c>
      <c r="N121" s="131">
        <f t="shared" si="83"/>
        <v>0</v>
      </c>
      <c r="O121" s="131">
        <f t="shared" si="53"/>
        <v>0</v>
      </c>
      <c r="P121" s="131">
        <f t="shared" si="59"/>
        <v>0</v>
      </c>
      <c r="Q121" s="120">
        <f t="shared" si="70"/>
        <v>30</v>
      </c>
      <c r="R121" s="120">
        <f t="shared" si="71"/>
        <v>9</v>
      </c>
      <c r="S121" s="119"/>
      <c r="T121" s="121">
        <f t="shared" si="72"/>
        <v>0</v>
      </c>
      <c r="U121" s="121">
        <f t="shared" si="73"/>
        <v>0</v>
      </c>
      <c r="W121" s="117">
        <v>117</v>
      </c>
      <c r="X121" s="130" t="str">
        <f t="shared" si="82"/>
        <v/>
      </c>
      <c r="Y121" s="131">
        <f t="shared" si="84"/>
        <v>0</v>
      </c>
      <c r="Z121" s="131">
        <f t="shared" si="55"/>
        <v>0</v>
      </c>
      <c r="AA121" s="131">
        <f t="shared" si="61"/>
        <v>0</v>
      </c>
      <c r="AB121" s="120">
        <f t="shared" si="74"/>
        <v>30</v>
      </c>
      <c r="AC121" s="120">
        <f t="shared" si="75"/>
        <v>9</v>
      </c>
      <c r="AD121" s="119"/>
      <c r="AE121" s="121">
        <f t="shared" si="76"/>
        <v>0</v>
      </c>
      <c r="AF121" s="121">
        <f t="shared" si="77"/>
        <v>0</v>
      </c>
      <c r="AG121" s="117">
        <f t="shared" si="80"/>
        <v>117</v>
      </c>
      <c r="AH121" s="171">
        <f t="shared" si="62"/>
        <v>9855</v>
      </c>
      <c r="AI121" s="171">
        <f t="shared" si="63"/>
        <v>742689</v>
      </c>
      <c r="AJ121" s="171">
        <f t="shared" si="64"/>
        <v>247669</v>
      </c>
    </row>
    <row r="122" spans="1:36">
      <c r="A122" s="117">
        <v>118</v>
      </c>
      <c r="B122" s="130">
        <f t="shared" si="65"/>
        <v>82521</v>
      </c>
      <c r="C122" s="131">
        <f t="shared" si="56"/>
        <v>421</v>
      </c>
      <c r="D122" s="131">
        <f t="shared" si="51"/>
        <v>82942</v>
      </c>
      <c r="E122" s="131">
        <f t="shared" si="57"/>
        <v>165148</v>
      </c>
      <c r="F122" s="120">
        <f t="shared" si="66"/>
        <v>31</v>
      </c>
      <c r="G122" s="120">
        <f t="shared" si="67"/>
        <v>10</v>
      </c>
      <c r="H122" s="119"/>
      <c r="I122" s="121">
        <f t="shared" si="68"/>
        <v>10276</v>
      </c>
      <c r="J122" s="121">
        <f t="shared" si="69"/>
        <v>825210</v>
      </c>
      <c r="L122" s="117">
        <v>118</v>
      </c>
      <c r="M122" s="130" t="str">
        <f t="shared" si="81"/>
        <v/>
      </c>
      <c r="N122" s="131">
        <f t="shared" si="83"/>
        <v>0</v>
      </c>
      <c r="O122" s="131">
        <f t="shared" si="53"/>
        <v>0</v>
      </c>
      <c r="P122" s="131">
        <f t="shared" si="59"/>
        <v>0</v>
      </c>
      <c r="Q122" s="120">
        <f t="shared" si="70"/>
        <v>31</v>
      </c>
      <c r="R122" s="120">
        <f t="shared" si="71"/>
        <v>10</v>
      </c>
      <c r="S122" s="119"/>
      <c r="T122" s="121">
        <f t="shared" si="72"/>
        <v>0</v>
      </c>
      <c r="U122" s="121">
        <f t="shared" si="73"/>
        <v>0</v>
      </c>
      <c r="W122" s="117">
        <v>118</v>
      </c>
      <c r="X122" s="130" t="str">
        <f t="shared" si="82"/>
        <v/>
      </c>
      <c r="Y122" s="131">
        <f t="shared" si="84"/>
        <v>0</v>
      </c>
      <c r="Z122" s="131">
        <f t="shared" si="55"/>
        <v>0</v>
      </c>
      <c r="AA122" s="131">
        <f t="shared" si="61"/>
        <v>0</v>
      </c>
      <c r="AB122" s="120">
        <f t="shared" si="74"/>
        <v>31</v>
      </c>
      <c r="AC122" s="120">
        <f t="shared" si="75"/>
        <v>10</v>
      </c>
      <c r="AD122" s="119"/>
      <c r="AE122" s="121">
        <f t="shared" si="76"/>
        <v>0</v>
      </c>
      <c r="AF122" s="121">
        <f t="shared" si="77"/>
        <v>0</v>
      </c>
      <c r="AG122" s="117">
        <f t="shared" si="80"/>
        <v>118</v>
      </c>
      <c r="AH122" s="171">
        <f t="shared" si="62"/>
        <v>10276</v>
      </c>
      <c r="AI122" s="171">
        <f t="shared" si="63"/>
        <v>825210</v>
      </c>
      <c r="AJ122" s="171">
        <f t="shared" si="64"/>
        <v>165148</v>
      </c>
    </row>
    <row r="123" spans="1:36">
      <c r="A123" s="117">
        <v>119</v>
      </c>
      <c r="B123" s="130">
        <f t="shared" si="65"/>
        <v>82521</v>
      </c>
      <c r="C123" s="131">
        <f t="shared" si="56"/>
        <v>271</v>
      </c>
      <c r="D123" s="131">
        <f t="shared" si="51"/>
        <v>82792</v>
      </c>
      <c r="E123" s="131">
        <f t="shared" si="57"/>
        <v>82627</v>
      </c>
      <c r="F123" s="120">
        <f t="shared" si="66"/>
        <v>30</v>
      </c>
      <c r="G123" s="120">
        <f t="shared" si="67"/>
        <v>11</v>
      </c>
      <c r="H123" s="119"/>
      <c r="I123" s="121">
        <f t="shared" si="68"/>
        <v>10547</v>
      </c>
      <c r="J123" s="121">
        <f t="shared" si="69"/>
        <v>907731</v>
      </c>
      <c r="L123" s="117">
        <v>119</v>
      </c>
      <c r="M123" s="130" t="str">
        <f t="shared" si="81"/>
        <v/>
      </c>
      <c r="N123" s="131">
        <f t="shared" si="83"/>
        <v>0</v>
      </c>
      <c r="O123" s="131">
        <f t="shared" si="53"/>
        <v>0</v>
      </c>
      <c r="P123" s="131">
        <f t="shared" si="59"/>
        <v>0</v>
      </c>
      <c r="Q123" s="120">
        <f t="shared" si="70"/>
        <v>30</v>
      </c>
      <c r="R123" s="120">
        <f t="shared" si="71"/>
        <v>11</v>
      </c>
      <c r="S123" s="119"/>
      <c r="T123" s="121">
        <f t="shared" si="72"/>
        <v>0</v>
      </c>
      <c r="U123" s="121">
        <f t="shared" si="73"/>
        <v>0</v>
      </c>
      <c r="W123" s="117">
        <v>119</v>
      </c>
      <c r="X123" s="130" t="str">
        <f t="shared" si="82"/>
        <v/>
      </c>
      <c r="Y123" s="131">
        <f t="shared" si="84"/>
        <v>0</v>
      </c>
      <c r="Z123" s="131">
        <f t="shared" si="55"/>
        <v>0</v>
      </c>
      <c r="AA123" s="131">
        <f t="shared" si="61"/>
        <v>0</v>
      </c>
      <c r="AB123" s="120">
        <f t="shared" si="74"/>
        <v>30</v>
      </c>
      <c r="AC123" s="120">
        <f t="shared" si="75"/>
        <v>11</v>
      </c>
      <c r="AD123" s="119"/>
      <c r="AE123" s="121">
        <f t="shared" si="76"/>
        <v>0</v>
      </c>
      <c r="AF123" s="121">
        <f t="shared" si="77"/>
        <v>0</v>
      </c>
      <c r="AG123" s="117">
        <f t="shared" si="80"/>
        <v>119</v>
      </c>
      <c r="AH123" s="171">
        <f t="shared" si="62"/>
        <v>10547</v>
      </c>
      <c r="AI123" s="171">
        <f t="shared" si="63"/>
        <v>907731</v>
      </c>
      <c r="AJ123" s="171">
        <f t="shared" si="64"/>
        <v>82627</v>
      </c>
    </row>
    <row r="124" spans="1:36">
      <c r="A124" s="117">
        <v>120</v>
      </c>
      <c r="B124" s="130">
        <f t="shared" si="65"/>
        <v>82521</v>
      </c>
      <c r="C124" s="131">
        <f t="shared" si="56"/>
        <v>140</v>
      </c>
      <c r="D124" s="131">
        <f t="shared" si="51"/>
        <v>82661</v>
      </c>
      <c r="E124" s="131">
        <f t="shared" si="57"/>
        <v>106</v>
      </c>
      <c r="F124" s="120">
        <f t="shared" si="66"/>
        <v>31</v>
      </c>
      <c r="G124" s="120">
        <f t="shared" si="67"/>
        <v>12</v>
      </c>
      <c r="H124" s="119"/>
      <c r="I124" s="121">
        <f t="shared" si="68"/>
        <v>10687</v>
      </c>
      <c r="J124" s="121">
        <f t="shared" si="69"/>
        <v>990252</v>
      </c>
      <c r="L124" s="117">
        <v>120</v>
      </c>
      <c r="M124" s="130" t="str">
        <f t="shared" si="81"/>
        <v/>
      </c>
      <c r="N124" s="131">
        <f t="shared" si="83"/>
        <v>0</v>
      </c>
      <c r="O124" s="131">
        <f t="shared" si="53"/>
        <v>0</v>
      </c>
      <c r="P124" s="131">
        <f t="shared" si="59"/>
        <v>0</v>
      </c>
      <c r="Q124" s="120">
        <f t="shared" si="70"/>
        <v>31</v>
      </c>
      <c r="R124" s="120">
        <f t="shared" si="71"/>
        <v>12</v>
      </c>
      <c r="S124" s="119"/>
      <c r="T124" s="121">
        <f t="shared" si="72"/>
        <v>0</v>
      </c>
      <c r="U124" s="121">
        <f t="shared" si="73"/>
        <v>0</v>
      </c>
      <c r="W124" s="117">
        <v>120</v>
      </c>
      <c r="X124" s="130" t="str">
        <f t="shared" si="82"/>
        <v/>
      </c>
      <c r="Y124" s="131">
        <f t="shared" si="84"/>
        <v>0</v>
      </c>
      <c r="Z124" s="131">
        <f t="shared" si="55"/>
        <v>0</v>
      </c>
      <c r="AA124" s="131">
        <f t="shared" si="61"/>
        <v>0</v>
      </c>
      <c r="AB124" s="120">
        <f t="shared" si="74"/>
        <v>31</v>
      </c>
      <c r="AC124" s="120">
        <f t="shared" si="75"/>
        <v>12</v>
      </c>
      <c r="AD124" s="119"/>
      <c r="AE124" s="121">
        <f t="shared" si="76"/>
        <v>0</v>
      </c>
      <c r="AF124" s="121">
        <f t="shared" si="77"/>
        <v>0</v>
      </c>
      <c r="AG124" s="117">
        <f t="shared" si="80"/>
        <v>120</v>
      </c>
      <c r="AH124" s="171">
        <f t="shared" si="62"/>
        <v>10687</v>
      </c>
      <c r="AI124" s="171">
        <f t="shared" si="63"/>
        <v>990252</v>
      </c>
      <c r="AJ124" s="171">
        <f t="shared" si="64"/>
        <v>106</v>
      </c>
    </row>
    <row r="125" spans="1:36" ht="18" thickBot="1">
      <c r="A125" s="116" t="s">
        <v>115</v>
      </c>
      <c r="B125" s="132">
        <f>SUM(B5:B124)</f>
        <v>9407394</v>
      </c>
      <c r="C125" s="133">
        <f>SUM(C5:C124)</f>
        <v>995237</v>
      </c>
      <c r="D125" s="133">
        <f>SUM(D5:D124)</f>
        <v>10402631</v>
      </c>
      <c r="E125" s="123" t="s">
        <v>116</v>
      </c>
      <c r="F125" s="123" t="s">
        <v>117</v>
      </c>
      <c r="G125" s="134"/>
      <c r="H125" s="119"/>
      <c r="I125" s="121"/>
      <c r="L125" s="116" t="s">
        <v>115</v>
      </c>
      <c r="M125" s="132">
        <f>SUM(M5:M124)</f>
        <v>0</v>
      </c>
      <c r="N125" s="133">
        <f>SUM(N5:N124)</f>
        <v>0</v>
      </c>
      <c r="O125" s="133">
        <f>SUM(O5:O124)</f>
        <v>0</v>
      </c>
      <c r="P125" s="123" t="s">
        <v>116</v>
      </c>
      <c r="Q125" s="123" t="s">
        <v>117</v>
      </c>
      <c r="R125" s="134"/>
      <c r="S125" s="119"/>
      <c r="T125" s="121"/>
      <c r="W125" s="116" t="s">
        <v>115</v>
      </c>
      <c r="X125" s="132">
        <f>SUM(X5:X124)</f>
        <v>0</v>
      </c>
      <c r="Y125" s="133">
        <f>SUM(Y5:Y124)</f>
        <v>0</v>
      </c>
      <c r="Z125" s="133">
        <f>SUM(Z5:Z124)</f>
        <v>0</v>
      </c>
      <c r="AA125" s="123" t="s">
        <v>116</v>
      </c>
      <c r="AB125" s="123" t="s">
        <v>117</v>
      </c>
      <c r="AC125" s="134"/>
      <c r="AD125" s="119"/>
      <c r="AE125" s="121"/>
    </row>
    <row r="126" spans="1:36" ht="18" thickBot="1">
      <c r="B126" s="121"/>
      <c r="C126" s="121"/>
      <c r="D126" s="121"/>
      <c r="E126" s="121"/>
      <c r="M126" s="121"/>
      <c r="N126" s="121"/>
      <c r="O126" s="121"/>
      <c r="P126" s="121"/>
      <c r="X126" s="121"/>
      <c r="Y126" s="121"/>
      <c r="Z126" s="121"/>
      <c r="AA126" s="121"/>
    </row>
    <row r="127" spans="1:36" ht="18" thickBot="1">
      <c r="B127" s="288">
        <f>+F3-B125</f>
        <v>106</v>
      </c>
      <c r="C127" s="121"/>
      <c r="D127" s="121"/>
      <c r="E127" s="121"/>
      <c r="M127" s="121">
        <f>+Q3-M125</f>
        <v>0</v>
      </c>
      <c r="N127" s="121"/>
      <c r="O127" s="121"/>
      <c r="P127" s="121"/>
      <c r="X127" s="121">
        <f>+AB3-X125</f>
        <v>0</v>
      </c>
      <c r="Y127" s="121"/>
      <c r="Z127" s="121"/>
      <c r="AA127" s="121"/>
    </row>
    <row r="128" spans="1:36">
      <c r="B128" s="121"/>
      <c r="C128" s="121"/>
      <c r="D128" s="121"/>
      <c r="E128" s="121"/>
      <c r="M128" s="121"/>
      <c r="N128" s="121"/>
      <c r="O128" s="121"/>
      <c r="P128" s="121"/>
    </row>
    <row r="129" spans="2:16">
      <c r="B129" s="121"/>
      <c r="C129" s="121"/>
      <c r="D129" s="121"/>
      <c r="E129" s="121"/>
      <c r="M129" s="121"/>
      <c r="N129" s="121"/>
      <c r="O129" s="121"/>
      <c r="P129" s="121"/>
    </row>
    <row r="130" spans="2:16">
      <c r="B130" s="121"/>
      <c r="C130" s="121"/>
      <c r="D130" s="121"/>
      <c r="E130" s="121"/>
      <c r="M130" s="121"/>
      <c r="N130" s="121"/>
      <c r="O130" s="121"/>
      <c r="P130" s="121"/>
    </row>
    <row r="131" spans="2:16">
      <c r="B131" s="121"/>
      <c r="C131" s="121"/>
      <c r="D131" s="121"/>
      <c r="E131" s="121"/>
      <c r="M131" s="121"/>
      <c r="N131" s="121"/>
      <c r="O131" s="121"/>
      <c r="P131" s="121"/>
    </row>
    <row r="132" spans="2:16">
      <c r="B132" s="121"/>
      <c r="C132" s="121"/>
      <c r="D132" s="121"/>
      <c r="E132" s="121"/>
      <c r="M132" s="121"/>
      <c r="N132" s="121"/>
      <c r="O132" s="121"/>
      <c r="P132" s="121"/>
    </row>
    <row r="133" spans="2:16">
      <c r="B133" s="121"/>
      <c r="C133" s="121"/>
      <c r="D133" s="121"/>
      <c r="E133" s="121"/>
      <c r="M133" s="121"/>
      <c r="N133" s="121"/>
      <c r="O133" s="121"/>
      <c r="P133" s="121"/>
    </row>
  </sheetData>
  <phoneticPr fontId="3"/>
  <pageMargins left="0.75" right="0.75" top="1" bottom="1" header="0.51200000000000001" footer="0.51200000000000001"/>
  <pageSetup paperSize="8" scale="29" orientation="landscape" horizontalDpi="360" verticalDpi="36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はじめに</vt:lpstr>
      <vt:lpstr>評価・判断</vt:lpstr>
      <vt:lpstr>⑥シミュレーション</vt:lpstr>
      <vt:lpstr>⑦資金繰り表</vt:lpstr>
      <vt:lpstr>①売上の積算</vt:lpstr>
      <vt:lpstr>②経費の積算</vt:lpstr>
      <vt:lpstr>③調達品</vt:lpstr>
      <vt:lpstr>④減価償却</vt:lpstr>
      <vt:lpstr>⑤借入金</vt:lpstr>
      <vt:lpstr>⑤借入金!Print_Area</vt:lpstr>
      <vt:lpstr>⑥シミュレーション!Print_Area</vt:lpstr>
      <vt:lpstr>⑦資金繰り表!Print_Area</vt:lpstr>
      <vt:lpstr>⑤借入金!Print_Area_MI</vt:lpstr>
      <vt:lpstr>①売上の積算!Print_Titles</vt:lpstr>
      <vt:lpstr>⑤借入金!Print_Titles</vt:lpstr>
      <vt:lpstr>⑤借入金!Print_Titles_MI</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後藤一男</cp:lastModifiedBy>
  <cp:revision/>
  <cp:lastPrinted>2022-05-29T14:07:26Z</cp:lastPrinted>
  <dcterms:created xsi:type="dcterms:W3CDTF">2018-01-16T03:14:47Z</dcterms:created>
  <dcterms:modified xsi:type="dcterms:W3CDTF">2022-05-29T14:22:51Z</dcterms:modified>
</cp:coreProperties>
</file>